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BPS\Desktop\"/>
    </mc:Choice>
  </mc:AlternateContent>
  <xr:revisionPtr revIDLastSave="0" documentId="8_{5A463257-67E5-45A7-88D2-F0707BE1C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 Summary" sheetId="2" r:id="rId1"/>
    <sheet name="PPMP" sheetId="3" r:id="rId2"/>
    <sheet name="SPI" sheetId="4" r:id="rId3"/>
    <sheet name="Sheet2" sheetId="6" r:id="rId4"/>
    <sheet name="PPMP (2)" sheetId="8" r:id="rId5"/>
    <sheet name="Sheet1" sheetId="7" r:id="rId6"/>
  </sheets>
  <definedNames>
    <definedName name="_xlnm._FilterDatabase" localSheetId="1" hidden="1">PPMP!$I$1:$I$223</definedName>
    <definedName name="_xlnm._FilterDatabase" localSheetId="4" hidden="1">'PPMP (2)'!$I$1:$I$213</definedName>
  </definedNames>
  <calcPr calcId="191029"/>
</workbook>
</file>

<file path=xl/calcChain.xml><?xml version="1.0" encoding="utf-8"?>
<calcChain xmlns="http://schemas.openxmlformats.org/spreadsheetml/2006/main">
  <c r="B20" i="4" l="1"/>
  <c r="D21" i="4"/>
  <c r="F36" i="2"/>
  <c r="F34" i="2"/>
  <c r="H21" i="4"/>
  <c r="E44" i="3"/>
  <c r="E38" i="3"/>
  <c r="U32" i="4"/>
  <c r="U26" i="4"/>
  <c r="U34" i="4" s="1"/>
  <c r="U38" i="4" s="1"/>
  <c r="U19" i="4"/>
  <c r="E35" i="3"/>
  <c r="E18" i="3"/>
  <c r="H29" i="3"/>
  <c r="E23" i="3"/>
  <c r="E45" i="3"/>
  <c r="E37" i="3"/>
  <c r="E19" i="3"/>
  <c r="B21" i="4" l="1"/>
  <c r="O36" i="2"/>
  <c r="Z114" i="3"/>
  <c r="H35" i="3"/>
  <c r="J17" i="3"/>
  <c r="K47" i="3"/>
  <c r="L47" i="3"/>
  <c r="M47" i="3"/>
  <c r="N47" i="3"/>
  <c r="O47" i="3"/>
  <c r="P47" i="3"/>
  <c r="Q47" i="3"/>
  <c r="R47" i="3"/>
  <c r="S47" i="3"/>
  <c r="T47" i="3"/>
  <c r="U47" i="3"/>
  <c r="J47" i="3"/>
  <c r="H32" i="3"/>
  <c r="H51" i="3"/>
  <c r="H50" i="3"/>
  <c r="H49" i="3"/>
  <c r="H48" i="3"/>
  <c r="H40" i="3"/>
  <c r="H45" i="3"/>
  <c r="H23" i="3"/>
  <c r="H19" i="3"/>
  <c r="H44" i="3"/>
  <c r="V19" i="3"/>
  <c r="E43" i="3"/>
  <c r="H43" i="3" s="1"/>
  <c r="H38" i="3"/>
  <c r="H37" i="3"/>
  <c r="H34" i="3"/>
  <c r="E26" i="3"/>
  <c r="H22" i="3"/>
  <c r="H21" i="3"/>
  <c r="H18" i="3"/>
  <c r="H16" i="3"/>
  <c r="H15" i="3"/>
  <c r="H46" i="3"/>
  <c r="H42" i="3"/>
  <c r="H41" i="3"/>
  <c r="H39" i="3"/>
  <c r="H36" i="3"/>
  <c r="H33" i="3"/>
  <c r="H31" i="3"/>
  <c r="H30" i="3"/>
  <c r="H28" i="3"/>
  <c r="H27" i="3"/>
  <c r="H25" i="3"/>
  <c r="H20" i="3"/>
  <c r="H47" i="3" l="1"/>
  <c r="H14" i="3"/>
  <c r="M12" i="2" s="1"/>
  <c r="L12" i="2" s="1"/>
  <c r="E16" i="7"/>
  <c r="S134" i="8"/>
  <c r="U50" i="8"/>
  <c r="U62" i="8"/>
  <c r="U74" i="8"/>
  <c r="U84" i="8"/>
  <c r="U89" i="8"/>
  <c r="U94" i="8"/>
  <c r="U110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M21" i="4"/>
  <c r="I21" i="4"/>
  <c r="E21" i="4"/>
  <c r="C218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H217" i="8"/>
  <c r="F217" i="8" s="1"/>
  <c r="E217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H216" i="8"/>
  <c r="F216" i="8" s="1"/>
  <c r="E216" i="8"/>
  <c r="U215" i="8"/>
  <c r="U218" i="8" s="1"/>
  <c r="T215" i="8"/>
  <c r="T218" i="8" s="1"/>
  <c r="S215" i="8"/>
  <c r="S218" i="8" s="1"/>
  <c r="R215" i="8"/>
  <c r="R218" i="8" s="1"/>
  <c r="Q215" i="8"/>
  <c r="Q218" i="8" s="1"/>
  <c r="P215" i="8"/>
  <c r="P218" i="8" s="1"/>
  <c r="O215" i="8"/>
  <c r="O218" i="8" s="1"/>
  <c r="N215" i="8"/>
  <c r="N218" i="8" s="1"/>
  <c r="M215" i="8"/>
  <c r="M218" i="8" s="1"/>
  <c r="L215" i="8"/>
  <c r="L218" i="8" s="1"/>
  <c r="K215" i="8"/>
  <c r="K218" i="8" s="1"/>
  <c r="J215" i="8"/>
  <c r="J218" i="8" s="1"/>
  <c r="H215" i="8"/>
  <c r="F215" i="8" s="1"/>
  <c r="E215" i="8"/>
  <c r="H211" i="8"/>
  <c r="H210" i="8"/>
  <c r="H209" i="8"/>
  <c r="H208" i="8"/>
  <c r="H207" i="8"/>
  <c r="H206" i="8"/>
  <c r="H205" i="8"/>
  <c r="H204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H201" i="8"/>
  <c r="H198" i="8"/>
  <c r="H197" i="8" s="1"/>
  <c r="H172" i="8" s="1"/>
  <c r="H133" i="8"/>
  <c r="P133" i="8" s="1"/>
  <c r="U133" i="8" s="1"/>
  <c r="H132" i="8"/>
  <c r="K132" i="8" s="1"/>
  <c r="O132" i="8" s="1"/>
  <c r="H131" i="8"/>
  <c r="J131" i="8" s="1"/>
  <c r="M131" i="8" s="1"/>
  <c r="H130" i="8"/>
  <c r="J130" i="8" s="1"/>
  <c r="Q130" i="8" s="1"/>
  <c r="H129" i="8"/>
  <c r="E128" i="8"/>
  <c r="H128" i="8" s="1"/>
  <c r="H127" i="8"/>
  <c r="H126" i="8"/>
  <c r="H125" i="8"/>
  <c r="H124" i="8"/>
  <c r="H123" i="8"/>
  <c r="E122" i="8"/>
  <c r="H122" i="8" s="1"/>
  <c r="H121" i="8"/>
  <c r="H120" i="8"/>
  <c r="H119" i="8"/>
  <c r="H118" i="8"/>
  <c r="H117" i="8"/>
  <c r="J117" i="8" s="1"/>
  <c r="U117" i="8" s="1"/>
  <c r="H116" i="8"/>
  <c r="J116" i="8" s="1"/>
  <c r="M116" i="8" s="1"/>
  <c r="H115" i="8"/>
  <c r="M115" i="8" s="1"/>
  <c r="U115" i="8" s="1"/>
  <c r="H114" i="8"/>
  <c r="J114" i="8" s="1"/>
  <c r="H113" i="8"/>
  <c r="M113" i="8" s="1"/>
  <c r="Q113" i="8" s="1"/>
  <c r="H112" i="8"/>
  <c r="P112" i="8" s="1"/>
  <c r="U112" i="8" s="1"/>
  <c r="H111" i="8"/>
  <c r="K111" i="8" s="1"/>
  <c r="O111" i="8" s="1"/>
  <c r="H110" i="8"/>
  <c r="H109" i="8"/>
  <c r="L109" i="8" s="1"/>
  <c r="U109" i="8" s="1"/>
  <c r="H108" i="8"/>
  <c r="L108" i="8" s="1"/>
  <c r="U108" i="8" s="1"/>
  <c r="H107" i="8"/>
  <c r="L107" i="8" s="1"/>
  <c r="U107" i="8" s="1"/>
  <c r="H106" i="8"/>
  <c r="L106" i="8" s="1"/>
  <c r="U106" i="8" s="1"/>
  <c r="E105" i="8"/>
  <c r="H105" i="8" s="1"/>
  <c r="L105" i="8" s="1"/>
  <c r="P105" i="8" s="1"/>
  <c r="H104" i="8"/>
  <c r="J104" i="8" s="1"/>
  <c r="Q104" i="8" s="1"/>
  <c r="H103" i="8"/>
  <c r="L103" i="8" s="1"/>
  <c r="U103" i="8" s="1"/>
  <c r="H102" i="8"/>
  <c r="L102" i="8" s="1"/>
  <c r="U102" i="8" s="1"/>
  <c r="H101" i="8"/>
  <c r="L101" i="8" s="1"/>
  <c r="U101" i="8" s="1"/>
  <c r="H100" i="8"/>
  <c r="L100" i="8" s="1"/>
  <c r="U100" i="8" s="1"/>
  <c r="H99" i="8"/>
  <c r="L99" i="8" s="1"/>
  <c r="Q99" i="8" s="1"/>
  <c r="H98" i="8"/>
  <c r="J98" i="8" s="1"/>
  <c r="Q98" i="8" s="1"/>
  <c r="H97" i="8"/>
  <c r="J97" i="8" s="1"/>
  <c r="P97" i="8" s="1"/>
  <c r="H96" i="8"/>
  <c r="P96" i="8" s="1"/>
  <c r="U96" i="8" s="1"/>
  <c r="H95" i="8"/>
  <c r="K95" i="8" s="1"/>
  <c r="O95" i="8" s="1"/>
  <c r="H94" i="8"/>
  <c r="H93" i="8"/>
  <c r="K93" i="8" s="1"/>
  <c r="U93" i="8" s="1"/>
  <c r="H92" i="8"/>
  <c r="J92" i="8" s="1"/>
  <c r="U92" i="8" s="1"/>
  <c r="H91" i="8"/>
  <c r="P91" i="8" s="1"/>
  <c r="U91" i="8" s="1"/>
  <c r="H90" i="8"/>
  <c r="H89" i="8"/>
  <c r="H88" i="8"/>
  <c r="J88" i="8" s="1"/>
  <c r="U88" i="8" s="1"/>
  <c r="H87" i="8"/>
  <c r="J87" i="8" s="1"/>
  <c r="U87" i="8" s="1"/>
  <c r="H86" i="8"/>
  <c r="P86" i="8" s="1"/>
  <c r="U86" i="8" s="1"/>
  <c r="H85" i="8"/>
  <c r="K85" i="8" s="1"/>
  <c r="O85" i="8" s="1"/>
  <c r="H84" i="8"/>
  <c r="H83" i="8"/>
  <c r="J83" i="8" s="1"/>
  <c r="U83" i="8" s="1"/>
  <c r="H82" i="8"/>
  <c r="J82" i="8" s="1"/>
  <c r="U82" i="8" s="1"/>
  <c r="H81" i="8"/>
  <c r="J81" i="8" s="1"/>
  <c r="M81" i="8" s="1"/>
  <c r="M134" i="8" s="1"/>
  <c r="H80" i="8"/>
  <c r="J80" i="8" s="1"/>
  <c r="U80" i="8" s="1"/>
  <c r="H79" i="8"/>
  <c r="N79" i="8" s="1"/>
  <c r="H78" i="8"/>
  <c r="P78" i="8" s="1"/>
  <c r="U78" i="8" s="1"/>
  <c r="H77" i="8"/>
  <c r="K77" i="8" s="1"/>
  <c r="O77" i="8" s="1"/>
  <c r="E76" i="8"/>
  <c r="H76" i="8" s="1"/>
  <c r="L76" i="8" s="1"/>
  <c r="Q76" i="8" s="1"/>
  <c r="H75" i="8"/>
  <c r="J75" i="8" s="1"/>
  <c r="P75" i="8" s="1"/>
  <c r="H74" i="8"/>
  <c r="H73" i="8"/>
  <c r="K73" i="8" s="1"/>
  <c r="U73" i="8" s="1"/>
  <c r="H72" i="8"/>
  <c r="K72" i="8" s="1"/>
  <c r="U72" i="8" s="1"/>
  <c r="H71" i="8"/>
  <c r="K71" i="8" s="1"/>
  <c r="H70" i="8"/>
  <c r="K70" i="8" s="1"/>
  <c r="U70" i="8" s="1"/>
  <c r="H69" i="8"/>
  <c r="K69" i="8" s="1"/>
  <c r="U69" i="8" s="1"/>
  <c r="E68" i="8"/>
  <c r="H68" i="8" s="1"/>
  <c r="K68" i="8" s="1"/>
  <c r="Q68" i="8" s="1"/>
  <c r="E67" i="8"/>
  <c r="H67" i="8" s="1"/>
  <c r="K67" i="8" s="1"/>
  <c r="O67" i="8" s="1"/>
  <c r="H66" i="8"/>
  <c r="J66" i="8" s="1"/>
  <c r="U66" i="8" s="1"/>
  <c r="H65" i="8"/>
  <c r="J65" i="8" s="1"/>
  <c r="P65" i="8" s="1"/>
  <c r="H64" i="8"/>
  <c r="P64" i="8" s="1"/>
  <c r="U64" i="8" s="1"/>
  <c r="H63" i="8"/>
  <c r="K63" i="8" s="1"/>
  <c r="H62" i="8"/>
  <c r="H61" i="8"/>
  <c r="J61" i="8" s="1"/>
  <c r="U61" i="8" s="1"/>
  <c r="H60" i="8"/>
  <c r="J60" i="8" s="1"/>
  <c r="U60" i="8" s="1"/>
  <c r="H59" i="8"/>
  <c r="J59" i="8" s="1"/>
  <c r="U59" i="8" s="1"/>
  <c r="H58" i="8"/>
  <c r="J58" i="8" s="1"/>
  <c r="U58" i="8" s="1"/>
  <c r="H57" i="8"/>
  <c r="J57" i="8" s="1"/>
  <c r="P57" i="8" s="1"/>
  <c r="H56" i="8"/>
  <c r="J56" i="8" s="1"/>
  <c r="U56" i="8" s="1"/>
  <c r="H55" i="8"/>
  <c r="J55" i="8" s="1"/>
  <c r="U55" i="8" s="1"/>
  <c r="H54" i="8"/>
  <c r="K54" i="8" s="1"/>
  <c r="Q54" i="8" s="1"/>
  <c r="H53" i="8"/>
  <c r="N53" i="8" s="1"/>
  <c r="T53" i="8" s="1"/>
  <c r="H52" i="8"/>
  <c r="P52" i="8" s="1"/>
  <c r="U52" i="8" s="1"/>
  <c r="H51" i="8"/>
  <c r="K51" i="8" s="1"/>
  <c r="O51" i="8" s="1"/>
  <c r="H50" i="8"/>
  <c r="E49" i="8"/>
  <c r="H49" i="8" s="1"/>
  <c r="J49" i="8" s="1"/>
  <c r="U49" i="8" s="1"/>
  <c r="E48" i="8"/>
  <c r="H48" i="8" s="1"/>
  <c r="J48" i="8" s="1"/>
  <c r="U48" i="8" s="1"/>
  <c r="E47" i="8"/>
  <c r="H47" i="8" s="1"/>
  <c r="J47" i="8" s="1"/>
  <c r="U47" i="8" s="1"/>
  <c r="H46" i="8"/>
  <c r="J46" i="8" s="1"/>
  <c r="P46" i="8" s="1"/>
  <c r="H45" i="8"/>
  <c r="J45" i="8" s="1"/>
  <c r="U45" i="8" s="1"/>
  <c r="H44" i="8"/>
  <c r="N44" i="8" s="1"/>
  <c r="H43" i="8"/>
  <c r="P43" i="8" s="1"/>
  <c r="U43" i="8" s="1"/>
  <c r="H42" i="8"/>
  <c r="S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U14" i="8"/>
  <c r="U222" i="8" s="1"/>
  <c r="T14" i="8"/>
  <c r="T222" i="8" s="1"/>
  <c r="S14" i="8"/>
  <c r="S222" i="8" s="1"/>
  <c r="R14" i="8"/>
  <c r="R222" i="8" s="1"/>
  <c r="Q14" i="8"/>
  <c r="Q222" i="8" s="1"/>
  <c r="P14" i="8"/>
  <c r="P222" i="8" s="1"/>
  <c r="O14" i="8"/>
  <c r="O222" i="8" s="1"/>
  <c r="N14" i="8"/>
  <c r="N222" i="8" s="1"/>
  <c r="M14" i="8"/>
  <c r="M222" i="8" s="1"/>
  <c r="L14" i="8"/>
  <c r="L222" i="8" s="1"/>
  <c r="K14" i="8"/>
  <c r="K222" i="8" s="1"/>
  <c r="J14" i="8"/>
  <c r="J222" i="8" s="1"/>
  <c r="G13" i="7"/>
  <c r="G8" i="7"/>
  <c r="A13" i="7"/>
  <c r="A8" i="7"/>
  <c r="G22" i="6"/>
  <c r="E22" i="6"/>
  <c r="E138" i="3"/>
  <c r="S18" i="6"/>
  <c r="S21" i="6"/>
  <c r="H58" i="3"/>
  <c r="M16" i="6"/>
  <c r="C10" i="6"/>
  <c r="B10" i="6"/>
  <c r="S10" i="6" s="1"/>
  <c r="S9" i="6"/>
  <c r="E86" i="3"/>
  <c r="E132" i="3"/>
  <c r="H97" i="3"/>
  <c r="H96" i="3"/>
  <c r="H95" i="3"/>
  <c r="H99" i="3"/>
  <c r="H100" i="3"/>
  <c r="H101" i="3"/>
  <c r="H102" i="3"/>
  <c r="H108" i="3"/>
  <c r="H107" i="3"/>
  <c r="H106" i="3"/>
  <c r="H105" i="3"/>
  <c r="E115" i="3"/>
  <c r="E78" i="3"/>
  <c r="H78" i="3" s="1"/>
  <c r="S13" i="6"/>
  <c r="S14" i="6"/>
  <c r="S15" i="6"/>
  <c r="S24" i="6"/>
  <c r="E60" i="3"/>
  <c r="E59" i="3"/>
  <c r="H27" i="6"/>
  <c r="H17" i="6"/>
  <c r="G27" i="6"/>
  <c r="G25" i="6"/>
  <c r="G23" i="6"/>
  <c r="G17" i="6"/>
  <c r="F27" i="6"/>
  <c r="F17" i="6"/>
  <c r="E27" i="6"/>
  <c r="E25" i="6"/>
  <c r="E23" i="6"/>
  <c r="E17" i="6"/>
  <c r="D27" i="6"/>
  <c r="D17" i="6"/>
  <c r="D5" i="6"/>
  <c r="D3" i="6"/>
  <c r="N5" i="6"/>
  <c r="M5" i="6"/>
  <c r="G5" i="6"/>
  <c r="F5" i="6"/>
  <c r="E5" i="6"/>
  <c r="F3" i="6"/>
  <c r="M3" i="6"/>
  <c r="N3" i="6"/>
  <c r="G3" i="6"/>
  <c r="E3" i="6"/>
  <c r="B3" i="6"/>
  <c r="H143" i="3"/>
  <c r="H142" i="3"/>
  <c r="B26" i="6"/>
  <c r="C27" i="6"/>
  <c r="B27" i="6"/>
  <c r="C25" i="6"/>
  <c r="B25" i="6"/>
  <c r="C20" i="6"/>
  <c r="B20" i="6"/>
  <c r="B22" i="6" s="1"/>
  <c r="N20" i="6"/>
  <c r="M20" i="6"/>
  <c r="B19" i="6"/>
  <c r="N17" i="6"/>
  <c r="M17" i="6"/>
  <c r="C17" i="6"/>
  <c r="B17" i="6"/>
  <c r="N16" i="6"/>
  <c r="C16" i="6"/>
  <c r="B16" i="6"/>
  <c r="B12" i="6"/>
  <c r="B11" i="6"/>
  <c r="B8" i="6"/>
  <c r="N7" i="6"/>
  <c r="M7" i="6"/>
  <c r="B7" i="6"/>
  <c r="B6" i="6"/>
  <c r="C5" i="6"/>
  <c r="B5" i="6"/>
  <c r="B4" i="6"/>
  <c r="C3" i="6"/>
  <c r="Q134" i="8" l="1"/>
  <c r="N134" i="8"/>
  <c r="M14" i="2"/>
  <c r="L14" i="2" s="1"/>
  <c r="U54" i="8"/>
  <c r="U46" i="8"/>
  <c r="U130" i="8"/>
  <c r="U98" i="8"/>
  <c r="L134" i="8"/>
  <c r="J134" i="8"/>
  <c r="H40" i="8"/>
  <c r="H134" i="8" s="1"/>
  <c r="P114" i="8"/>
  <c r="P134" i="8" s="1"/>
  <c r="U114" i="8"/>
  <c r="O63" i="8"/>
  <c r="R71" i="8"/>
  <c r="T79" i="8"/>
  <c r="U79" i="8"/>
  <c r="U113" i="8"/>
  <c r="U105" i="8"/>
  <c r="U97" i="8"/>
  <c r="U85" i="8"/>
  <c r="U81" i="8"/>
  <c r="U77" i="8"/>
  <c r="U65" i="8"/>
  <c r="U57" i="8"/>
  <c r="U53" i="8"/>
  <c r="U132" i="8"/>
  <c r="U116" i="8"/>
  <c r="U104" i="8"/>
  <c r="U76" i="8"/>
  <c r="U68" i="8"/>
  <c r="U131" i="8"/>
  <c r="U111" i="8"/>
  <c r="U99" i="8"/>
  <c r="U95" i="8"/>
  <c r="U75" i="8"/>
  <c r="U67" i="8"/>
  <c r="U51" i="8"/>
  <c r="M40" i="8"/>
  <c r="M149" i="8" s="1"/>
  <c r="M150" i="8" s="1"/>
  <c r="Q40" i="8"/>
  <c r="Q149" i="8" s="1"/>
  <c r="Q150" i="8" s="1"/>
  <c r="N40" i="8"/>
  <c r="T44" i="8"/>
  <c r="H203" i="8"/>
  <c r="K90" i="8"/>
  <c r="O71" i="8"/>
  <c r="L40" i="8"/>
  <c r="J40" i="8"/>
  <c r="P40" i="8"/>
  <c r="P149" i="8" s="1"/>
  <c r="P150" i="8" s="1"/>
  <c r="N149" i="8"/>
  <c r="N150" i="8" s="1"/>
  <c r="H14" i="8"/>
  <c r="S149" i="8"/>
  <c r="S150" i="8" s="1"/>
  <c r="K42" i="8"/>
  <c r="S22" i="6"/>
  <c r="S3" i="6"/>
  <c r="S16" i="6"/>
  <c r="S27" i="6"/>
  <c r="S17" i="6"/>
  <c r="S20" i="6"/>
  <c r="S25" i="6"/>
  <c r="S23" i="6"/>
  <c r="S7" i="6"/>
  <c r="S12" i="6"/>
  <c r="S26" i="6"/>
  <c r="S19" i="6"/>
  <c r="S11" i="6"/>
  <c r="S8" i="6"/>
  <c r="S4" i="6"/>
  <c r="S6" i="6"/>
  <c r="S5" i="6"/>
  <c r="R40" i="8" l="1"/>
  <c r="R149" i="8" s="1"/>
  <c r="R150" i="8" s="1"/>
  <c r="R134" i="8"/>
  <c r="O90" i="8"/>
  <c r="O134" i="8" s="1"/>
  <c r="O40" i="8"/>
  <c r="O149" i="8" s="1"/>
  <c r="O150" i="8" s="1"/>
  <c r="U63" i="8"/>
  <c r="K134" i="8"/>
  <c r="T40" i="8"/>
  <c r="T149" i="8" s="1"/>
  <c r="T150" i="8" s="1"/>
  <c r="T134" i="8"/>
  <c r="K40" i="8"/>
  <c r="K149" i="8" s="1"/>
  <c r="K150" i="8" s="1"/>
  <c r="U42" i="8"/>
  <c r="U71" i="8"/>
  <c r="U44" i="8"/>
  <c r="L149" i="8"/>
  <c r="L150" i="8" s="1"/>
  <c r="J149" i="8"/>
  <c r="J150" i="8" s="1"/>
  <c r="S28" i="6"/>
  <c r="J52" i="3"/>
  <c r="B16" i="4"/>
  <c r="E226" i="3"/>
  <c r="E227" i="3"/>
  <c r="E225" i="3"/>
  <c r="C228" i="3"/>
  <c r="K17" i="3"/>
  <c r="K14" i="3" s="1"/>
  <c r="L17" i="3"/>
  <c r="L14" i="3" s="1"/>
  <c r="M17" i="3"/>
  <c r="M14" i="3" s="1"/>
  <c r="N17" i="3"/>
  <c r="N14" i="3" s="1"/>
  <c r="O17" i="3"/>
  <c r="O14" i="3" s="1"/>
  <c r="P17" i="3"/>
  <c r="P14" i="3" s="1"/>
  <c r="Q17" i="3"/>
  <c r="Q14" i="3" s="1"/>
  <c r="R17" i="3"/>
  <c r="R14" i="3" s="1"/>
  <c r="S17" i="3"/>
  <c r="S14" i="3" s="1"/>
  <c r="T17" i="3"/>
  <c r="T14" i="3" s="1"/>
  <c r="U17" i="3"/>
  <c r="U14" i="3" s="1"/>
  <c r="U52" i="3"/>
  <c r="K52" i="3"/>
  <c r="L52" i="3"/>
  <c r="M52" i="3"/>
  <c r="N52" i="3"/>
  <c r="O52" i="3"/>
  <c r="P52" i="3"/>
  <c r="Q52" i="3"/>
  <c r="R52" i="3"/>
  <c r="S52" i="3"/>
  <c r="T52" i="3"/>
  <c r="U90" i="8" l="1"/>
  <c r="T144" i="3"/>
  <c r="P144" i="3"/>
  <c r="N144" i="3"/>
  <c r="R144" i="3"/>
  <c r="L144" i="3"/>
  <c r="U40" i="8"/>
  <c r="V40" i="8" s="1"/>
  <c r="U144" i="3"/>
  <c r="Q144" i="3"/>
  <c r="M144" i="3"/>
  <c r="J144" i="3"/>
  <c r="S144" i="3"/>
  <c r="O144" i="3"/>
  <c r="K144" i="3"/>
  <c r="T159" i="3"/>
  <c r="T160" i="3" s="1"/>
  <c r="P159" i="3"/>
  <c r="P160" i="3" s="1"/>
  <c r="L159" i="3"/>
  <c r="L160" i="3" s="1"/>
  <c r="R159" i="3"/>
  <c r="R160" i="3" s="1"/>
  <c r="N159" i="3"/>
  <c r="N160" i="3" s="1"/>
  <c r="U159" i="3"/>
  <c r="U160" i="3" s="1"/>
  <c r="Q159" i="3"/>
  <c r="Q160" i="3" s="1"/>
  <c r="M159" i="3"/>
  <c r="M160" i="3" s="1"/>
  <c r="S159" i="3"/>
  <c r="S160" i="3" s="1"/>
  <c r="O159" i="3"/>
  <c r="O160" i="3" s="1"/>
  <c r="K159" i="3"/>
  <c r="K160" i="3" s="1"/>
  <c r="J159" i="3"/>
  <c r="J160" i="3" s="1"/>
  <c r="Q15" i="4"/>
  <c r="M15" i="4"/>
  <c r="I15" i="4"/>
  <c r="E15" i="4"/>
  <c r="Q21" i="4"/>
  <c r="U149" i="8" l="1"/>
  <c r="U150" i="8" s="1"/>
  <c r="U134" i="8"/>
  <c r="R15" i="4"/>
  <c r="R21" i="4"/>
  <c r="S28" i="4" s="1"/>
  <c r="Q20" i="4"/>
  <c r="M20" i="4"/>
  <c r="I20" i="4"/>
  <c r="M14" i="4"/>
  <c r="I14" i="4"/>
  <c r="E14" i="4"/>
  <c r="Q14" i="4"/>
  <c r="R14" i="4" l="1"/>
  <c r="H55" i="3"/>
  <c r="H56" i="3"/>
  <c r="H57" i="3"/>
  <c r="H24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26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103" i="3"/>
  <c r="H104" i="3"/>
  <c r="H113" i="3"/>
  <c r="H109" i="3"/>
  <c r="H110" i="3"/>
  <c r="H111" i="3"/>
  <c r="H112" i="3"/>
  <c r="H114" i="3"/>
  <c r="H115" i="3"/>
  <c r="H119" i="3"/>
  <c r="H116" i="3"/>
  <c r="H117" i="3"/>
  <c r="H118" i="3"/>
  <c r="H120" i="3"/>
  <c r="H121" i="3"/>
  <c r="H122" i="3"/>
  <c r="H123" i="3"/>
  <c r="H124" i="3"/>
  <c r="H126" i="3"/>
  <c r="H127" i="3"/>
  <c r="H125" i="3"/>
  <c r="H131" i="3"/>
  <c r="H128" i="3"/>
  <c r="H129" i="3"/>
  <c r="H130" i="3"/>
  <c r="H132" i="3"/>
  <c r="H133" i="3"/>
  <c r="H134" i="3"/>
  <c r="H135" i="3"/>
  <c r="H136" i="3"/>
  <c r="H137" i="3"/>
  <c r="H138" i="3"/>
  <c r="H139" i="3"/>
  <c r="H140" i="3"/>
  <c r="H141" i="3"/>
  <c r="H54" i="3"/>
  <c r="H17" i="3" l="1"/>
  <c r="V54" i="3"/>
  <c r="H52" i="3"/>
  <c r="M13" i="2" l="1"/>
  <c r="L13" i="2" s="1"/>
  <c r="E20" i="4"/>
  <c r="H144" i="3"/>
  <c r="L15" i="2"/>
  <c r="M15" i="2" s="1"/>
  <c r="P22" i="4"/>
  <c r="O22" i="4"/>
  <c r="N22" i="4"/>
  <c r="M22" i="4"/>
  <c r="L22" i="4"/>
  <c r="K22" i="4"/>
  <c r="J22" i="4"/>
  <c r="G22" i="4"/>
  <c r="F22" i="4"/>
  <c r="D22" i="4"/>
  <c r="C22" i="4"/>
  <c r="O16" i="4"/>
  <c r="P16" i="4"/>
  <c r="N16" i="4"/>
  <c r="K16" i="4"/>
  <c r="L16" i="4"/>
  <c r="G16" i="4"/>
  <c r="F16" i="4"/>
  <c r="C16" i="4"/>
  <c r="D16" i="4"/>
  <c r="H208" i="3"/>
  <c r="H207" i="3" s="1"/>
  <c r="H182" i="3" s="1"/>
  <c r="H221" i="3"/>
  <c r="H220" i="3"/>
  <c r="H219" i="3"/>
  <c r="H218" i="3"/>
  <c r="H217" i="3"/>
  <c r="H216" i="3"/>
  <c r="H215" i="3"/>
  <c r="H214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H211" i="3"/>
  <c r="H226" i="3"/>
  <c r="F226" i="3" s="1"/>
  <c r="M16" i="2" l="1"/>
  <c r="L16" i="2"/>
  <c r="O38" i="2" s="1"/>
  <c r="B22" i="4"/>
  <c r="E22" i="4" s="1"/>
  <c r="K227" i="3"/>
  <c r="J232" i="3"/>
  <c r="J227" i="3"/>
  <c r="S232" i="3"/>
  <c r="K232" i="3"/>
  <c r="O232" i="3"/>
  <c r="N232" i="3"/>
  <c r="R232" i="3"/>
  <c r="U232" i="3"/>
  <c r="M232" i="3"/>
  <c r="Q232" i="3"/>
  <c r="L232" i="3"/>
  <c r="P232" i="3"/>
  <c r="T232" i="3"/>
  <c r="Q22" i="4"/>
  <c r="H227" i="3"/>
  <c r="F227" i="3" s="1"/>
  <c r="Q227" i="3"/>
  <c r="H225" i="3"/>
  <c r="F225" i="3" s="1"/>
  <c r="J225" i="3"/>
  <c r="M226" i="3"/>
  <c r="Q226" i="3"/>
  <c r="U226" i="3"/>
  <c r="K226" i="3"/>
  <c r="O226" i="3"/>
  <c r="S226" i="3"/>
  <c r="K225" i="3"/>
  <c r="O225" i="3"/>
  <c r="S225" i="3"/>
  <c r="R227" i="3"/>
  <c r="R20" i="4"/>
  <c r="R22" i="4" s="1"/>
  <c r="J226" i="3"/>
  <c r="N226" i="3"/>
  <c r="R226" i="3"/>
  <c r="N227" i="3"/>
  <c r="P225" i="3"/>
  <c r="T225" i="3"/>
  <c r="M16" i="4"/>
  <c r="I16" i="4"/>
  <c r="E16" i="4"/>
  <c r="Q16" i="4"/>
  <c r="L225" i="3"/>
  <c r="R225" i="3"/>
  <c r="N225" i="3"/>
  <c r="M225" i="3"/>
  <c r="Q225" i="3"/>
  <c r="U225" i="3"/>
  <c r="L226" i="3"/>
  <c r="P226" i="3"/>
  <c r="T226" i="3"/>
  <c r="P227" i="3"/>
  <c r="T227" i="3"/>
  <c r="M227" i="3"/>
  <c r="U227" i="3"/>
  <c r="L227" i="3"/>
  <c r="O227" i="3"/>
  <c r="S227" i="3"/>
  <c r="H213" i="3"/>
  <c r="H22" i="4"/>
  <c r="I22" i="4" s="1"/>
  <c r="J228" i="3" l="1"/>
  <c r="S228" i="3"/>
  <c r="O228" i="3"/>
  <c r="K228" i="3"/>
  <c r="N228" i="3"/>
  <c r="M228" i="3"/>
  <c r="R228" i="3"/>
  <c r="R16" i="4"/>
  <c r="Q228" i="3"/>
  <c r="L228" i="3"/>
  <c r="P228" i="3"/>
  <c r="T228" i="3"/>
  <c r="U228" i="3"/>
</calcChain>
</file>

<file path=xl/sharedStrings.xml><?xml version="1.0" encoding="utf-8"?>
<sst xmlns="http://schemas.openxmlformats.org/spreadsheetml/2006/main" count="1034" uniqueCount="259">
  <si>
    <t>HEADQUARTERS</t>
  </si>
  <si>
    <t>PHILIPPINE ARMY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</si>
  <si>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</si>
  <si>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</si>
  <si>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</si>
  <si>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</si>
  <si>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</si>
  <si>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</si>
  <si>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</si>
  <si>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</si>
  <si>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</si>
  <si>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</si>
  <si>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</si>
  <si>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</si>
  <si>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</si>
  <si>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</si>
  <si>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</si>
  <si>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</si>
  <si>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</si>
  <si>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5-02-01-010-00</t>
  </si>
  <si>
    <t>Traveling Expenses - Local</t>
  </si>
  <si>
    <t>HPA</t>
  </si>
  <si>
    <t>None</t>
  </si>
  <si>
    <t>2023-General Appropriations Act</t>
  </si>
  <si>
    <t>PAMU GCM Administration and Support</t>
  </si>
  <si>
    <t>OG1</t>
  </si>
  <si>
    <t>Procurement Requirements for CY 2023</t>
  </si>
  <si>
    <t>PA GCM Travel of Witnesses and Members</t>
  </si>
  <si>
    <t>AFP Day (Travel of Awardees)</t>
  </si>
  <si>
    <t>PABSO Activities</t>
  </si>
  <si>
    <t>Enhanced Personal Effectiveness Seminar</t>
  </si>
  <si>
    <t>Operationalization of 11ID (Processing Rqmts Phase 5)</t>
  </si>
  <si>
    <t>PAESB Deliberation and Administration</t>
  </si>
  <si>
    <t>PA Civilian Senior Leader Summit</t>
  </si>
  <si>
    <t>Recruitment of Candidate Soldiers (Decentralized-PAMUs)</t>
  </si>
  <si>
    <t>Integrating Competencies into HR Systems &amp; Process (ICHRSP)</t>
  </si>
  <si>
    <t>AFPCGSC Screening Process Requirements for CY 2023</t>
  </si>
  <si>
    <t>Support to OCC &amp; PMA Pre-Deployment Training &amp; Send Off Activities for CY 2022</t>
  </si>
  <si>
    <t>Rest and Recreation for Displaced Units</t>
  </si>
  <si>
    <t>Negotiated 53.9</t>
  </si>
  <si>
    <t>Negotiated 53.5</t>
  </si>
  <si>
    <t>Negotiated 53.7</t>
  </si>
  <si>
    <t>5-02-15-020-00</t>
  </si>
  <si>
    <t>Fidelity Bond Premiums</t>
  </si>
  <si>
    <t>Fidelity Bond Premium</t>
  </si>
  <si>
    <t>TOTAL</t>
  </si>
  <si>
    <t>Prepared By:</t>
  </si>
  <si>
    <t>Recommended By:</t>
  </si>
  <si>
    <t>Approved By:</t>
  </si>
  <si>
    <t>HPAG1</t>
  </si>
  <si>
    <t>For Bonifacio, Metro Manila</t>
  </si>
  <si>
    <t>RAMON     P      FLORES</t>
  </si>
  <si>
    <t>ROMEO  S  BRAWNER  JR</t>
  </si>
  <si>
    <t>COL     GSC    (INF)     PA</t>
  </si>
  <si>
    <t>Lieutenant    General   PA</t>
  </si>
  <si>
    <t>AC of S for Pers, G1</t>
  </si>
  <si>
    <t>Commanding General</t>
  </si>
  <si>
    <t>Sub/ Open of Bids</t>
  </si>
  <si>
    <t>N/A</t>
  </si>
  <si>
    <t>END USER: HPAG1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</si>
  <si>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</si>
  <si>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</si>
  <si>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</si>
  <si>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</si>
  <si>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</si>
  <si>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</si>
  <si>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</si>
  <si>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</si>
  <si>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</si>
  <si>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</si>
  <si>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</si>
  <si>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</si>
  <si>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</si>
  <si>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</si>
  <si>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</si>
  <si>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</si>
  <si>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</si>
  <si>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</si>
  <si>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</si>
  <si>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</si>
  <si>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</si>
  <si>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pax</t>
  </si>
  <si>
    <t>sets</t>
  </si>
  <si>
    <t>pairs</t>
  </si>
  <si>
    <t>lot</t>
  </si>
  <si>
    <t>Payment for Fidelity Bond Premium-MCA-2.5M</t>
  </si>
  <si>
    <t>Payment for Fidelity Bond Premium-MCA-1M</t>
  </si>
  <si>
    <t>Payment for Fidelity Bond Premium-MCA-750K</t>
  </si>
  <si>
    <t>Payment for Fidelity Bond Premium-MCA-500K</t>
  </si>
  <si>
    <t>Payment for Fidelity Bond Premium-MCA-5M</t>
  </si>
  <si>
    <t>Payment for Fidelity Bond Premium-MCA-26.5M</t>
  </si>
  <si>
    <t>Payment for Fidelity Bond Premium-MCA-10M</t>
  </si>
  <si>
    <t>Payment for Fidelity Bond Premium-MCA-200K</t>
  </si>
  <si>
    <t>RICKY JAMES L ROSALEJOS</t>
  </si>
  <si>
    <t>LTC                (INF)              PA</t>
  </si>
  <si>
    <t>Chief, PBB, OG1, PA</t>
  </si>
  <si>
    <t>Lot</t>
  </si>
  <si>
    <t>Air/Land/Water Fare</t>
  </si>
  <si>
    <t>Travel Expenses - Local</t>
  </si>
  <si>
    <t>Air/Water/Land Fare</t>
  </si>
  <si>
    <t>Recruitment of Candidate Soldiers (Decentralized-PAMUS)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</si>
  <si>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</si>
  <si>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</si>
  <si>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</si>
  <si>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</si>
  <si>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</si>
  <si>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</si>
  <si>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</si>
  <si>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</si>
  <si>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</si>
  <si>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</si>
  <si>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</si>
  <si>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Ads/ Post of ID/ BEI</t>
  </si>
  <si>
    <t>Special Clothing Allowance</t>
  </si>
  <si>
    <t>PA-WIDE</t>
  </si>
  <si>
    <t>5-01-02-040-05</t>
  </si>
  <si>
    <t xml:space="preserve">Public Bidding </t>
  </si>
  <si>
    <t>Projects to be implemented through Early Procurement Activities</t>
  </si>
  <si>
    <t>Public Bidding</t>
  </si>
  <si>
    <t>Bar, Mosquito, Polyester, Warp Knit, OD</t>
  </si>
  <si>
    <t>Belt, Waist for BDU w/ Buckle</t>
  </si>
  <si>
    <t>Blanket, OD</t>
  </si>
  <si>
    <t>Combat Chest Rig, PHILARPAT</t>
  </si>
  <si>
    <t>Hydration Pack, 3L capacity, PHILARPAT</t>
  </si>
  <si>
    <t>Mat, Canvass, Polyester, OD</t>
  </si>
  <si>
    <t>Mattress Cover, Fitted, OD</t>
  </si>
  <si>
    <t>Pershing Cap (O4/O5/O6)</t>
  </si>
  <si>
    <t>Philippine Army Ballistic Helmet</t>
  </si>
  <si>
    <t>Philippine Army Athletic Shoes, Black</t>
  </si>
  <si>
    <t>Philippine Army Pattern (PHILARPAT) BDU with Ball Cap</t>
  </si>
  <si>
    <t>Plastic Mess Gear</t>
  </si>
  <si>
    <t>Poncho Tent, PHILARPAT</t>
  </si>
  <si>
    <t>Socks, Athletic,Gray</t>
  </si>
  <si>
    <t>Socks, Black for Boots</t>
  </si>
  <si>
    <t>Shoes, Dress, Low Cut, Rubber Sole</t>
  </si>
  <si>
    <t>Short, Cycling (Compression), Black</t>
  </si>
  <si>
    <t>Towel bath and face (Microfiber), OD</t>
  </si>
  <si>
    <t>Undershirt, Raglan, Polyester Spandex, Round Neck</t>
  </si>
  <si>
    <t>each</t>
  </si>
  <si>
    <t>Barong with Pants</t>
  </si>
  <si>
    <t xml:space="preserve">            Foreign Schooling </t>
  </si>
  <si>
    <t>Bathrobe</t>
  </si>
  <si>
    <t>Bedsheet, White</t>
  </si>
  <si>
    <t>Belt medal with OCS Seal</t>
  </si>
  <si>
    <t xml:space="preserve">Bush Coat, DOD </t>
  </si>
  <si>
    <t xml:space="preserve">            Newly Promoted Generals</t>
  </si>
  <si>
    <t>Newly Assigned Officers &amp; Senior NCOs in HPA and Post Units</t>
  </si>
  <si>
    <t xml:space="preserve">            PA Day Awardees</t>
  </si>
  <si>
    <t xml:space="preserve">            CADTT</t>
  </si>
  <si>
    <t>Black Pouch</t>
  </si>
  <si>
    <t>Breast Plate</t>
  </si>
  <si>
    <t xml:space="preserve">Business Suit </t>
  </si>
  <si>
    <t>Cap Oversea, OD w/ Coat of Arms</t>
  </si>
  <si>
    <t>Case Pillow OD</t>
  </si>
  <si>
    <t>Cross Strap (White)</t>
  </si>
  <si>
    <t>Cross Straps for belt yellow with black stripes</t>
  </si>
  <si>
    <t>Gala Uniform</t>
  </si>
  <si>
    <t>General's Buckle for GOA</t>
  </si>
  <si>
    <t>Gloves</t>
  </si>
  <si>
    <t>General Office Uniform (GOU)</t>
  </si>
  <si>
    <t xml:space="preserve">            ICA of OCC/OPC</t>
  </si>
  <si>
    <t xml:space="preserve">            Pre-Deployment of OCC/OPC/PMA</t>
  </si>
  <si>
    <t>GOU Jacket (OD)</t>
  </si>
  <si>
    <t>Handkerchief, Cotton, White</t>
  </si>
  <si>
    <t>Jacket, Black</t>
  </si>
  <si>
    <t>Jusi Barong</t>
  </si>
  <si>
    <t>Mess Jacket</t>
  </si>
  <si>
    <t>Pershing Cap (Brigadier General)</t>
  </si>
  <si>
    <t>Pershing Cap (EP)</t>
  </si>
  <si>
    <t>Pershing Cap (General)</t>
  </si>
  <si>
    <t>Pershing Cap (Lieutenant General)</t>
  </si>
  <si>
    <t>Pershing Cap (Major General)</t>
  </si>
  <si>
    <t xml:space="preserve">Pershing Cap for Gala </t>
  </si>
  <si>
    <t>Pillow, Vacuum Packed</t>
  </si>
  <si>
    <t>Rank Insignia, Metal, Brigadier General</t>
  </si>
  <si>
    <t>Rank Insignia, Metal, General</t>
  </si>
  <si>
    <t>Rank Insignia, Metal, Lieutenant General</t>
  </si>
  <si>
    <t>Rank Insignia, Metal, Major General</t>
  </si>
  <si>
    <t>Service Blouse</t>
  </si>
  <si>
    <t>Shoulder Board (Brigadier General)</t>
  </si>
  <si>
    <t>Shoulder Board (General)</t>
  </si>
  <si>
    <t>Shoulder Board (Lieutenant General)</t>
  </si>
  <si>
    <t>Shoulder Board (Major General)</t>
  </si>
  <si>
    <t>Shoulder Loop (2LT)</t>
  </si>
  <si>
    <t>Shoulder Loop (Brigadier General)</t>
  </si>
  <si>
    <t>Shoulder Loop (General)</t>
  </si>
  <si>
    <t>Shoulder Loop (Lieutenant General)</t>
  </si>
  <si>
    <t>Shoulder Loop (Major General)</t>
  </si>
  <si>
    <t>Sleeping Uniform</t>
  </si>
  <si>
    <t>Socks, Nylon, Black (Stretchable)</t>
  </si>
  <si>
    <t xml:space="preserve">White Duck </t>
  </si>
  <si>
    <t>H E A D Q U A R T E R S</t>
  </si>
  <si>
    <t>Project Procurement Management Plan (PPMP) CY 2024</t>
  </si>
  <si>
    <t>DATE: 26 March 2023</t>
  </si>
  <si>
    <t>ICA - CS</t>
  </si>
  <si>
    <t>ECA - CS</t>
  </si>
  <si>
    <t>Army Combat Boots, Suede, Field Use</t>
  </si>
  <si>
    <t>MNSA</t>
  </si>
  <si>
    <t>BOE</t>
  </si>
  <si>
    <t>BRP</t>
  </si>
  <si>
    <t>CADTT</t>
  </si>
  <si>
    <t>FOREIGN SCHOOLING</t>
  </si>
  <si>
    <t>MBA2</t>
  </si>
  <si>
    <t xml:space="preserve">            CGSC Class 75 &amp; 76</t>
  </si>
  <si>
    <t xml:space="preserve">            MNSA RC 60</t>
  </si>
  <si>
    <t xml:space="preserve">            AFPSMC CL 13 &amp; 14</t>
  </si>
  <si>
    <t>3600 +  360 (10% Buffer)</t>
  </si>
  <si>
    <t>400*11 PAMUS</t>
  </si>
  <si>
    <t>400*3 UNIT</t>
  </si>
  <si>
    <t>300+ 30  (10% Buffer)</t>
  </si>
  <si>
    <t>100+ 10  (10% Buffer)</t>
  </si>
  <si>
    <t>NSSP</t>
  </si>
  <si>
    <t>AFPSMC</t>
  </si>
  <si>
    <t>ICA - OCC</t>
  </si>
  <si>
    <t>PRE-DEPLOYMENT - OCC</t>
  </si>
  <si>
    <t>PRE-DEPLOYMENT - CADTT</t>
  </si>
  <si>
    <t>PRE-DEPLOYMENT - PMA</t>
  </si>
  <si>
    <t>150 +  15(10% Buffer)</t>
  </si>
  <si>
    <t>Newly Promoted Officers</t>
  </si>
  <si>
    <t>Gratis</t>
  </si>
  <si>
    <t xml:space="preserve">Unit Price </t>
  </si>
  <si>
    <t>Amount</t>
  </si>
  <si>
    <t xml:space="preserve">            AFPSMC CL 12 &amp; 13</t>
  </si>
  <si>
    <t xml:space="preserve">            Newly promoted generals</t>
  </si>
  <si>
    <t xml:space="preserve">            NSSP Batch 5 &amp; 6</t>
  </si>
  <si>
    <t>Jogging Suit, Athletic</t>
  </si>
  <si>
    <t>Lousy Hat, PHILARPAT</t>
  </si>
  <si>
    <t>Mar 24</t>
  </si>
  <si>
    <t>Apr 24</t>
  </si>
  <si>
    <t>2024-General Appropriations Act</t>
  </si>
  <si>
    <t>Raincoat, PHILARPAT</t>
  </si>
  <si>
    <t>Philippine Army Rain Coat, PHILARPAT</t>
  </si>
  <si>
    <t>To be implemented on CY 2024</t>
  </si>
  <si>
    <t>Programmed Qouta</t>
  </si>
  <si>
    <t>ROGELIO    S  VELANO</t>
  </si>
  <si>
    <t>MAJ          (FS)            PA</t>
  </si>
  <si>
    <t>ROGELIO     S    VELANO</t>
  </si>
  <si>
    <t>RAMON      P      FLORES</t>
  </si>
  <si>
    <t>Indicative Annual Procurement Plan (APP) FY 2024</t>
  </si>
  <si>
    <t>Is this an early procurement Activity? Yes/No</t>
  </si>
  <si>
    <t>Yes</t>
  </si>
  <si>
    <t>No</t>
  </si>
  <si>
    <t>Chairperson, PABAC 1</t>
  </si>
  <si>
    <t>5-01-02-040-07</t>
  </si>
  <si>
    <t>Reenlistment Clothing Allowance</t>
  </si>
  <si>
    <t>Miltart Body Armor 2 (MBA 2)</t>
  </si>
  <si>
    <t>Buckle, Aluminum, Belt Waist</t>
  </si>
  <si>
    <t>Belt Waist, Garterized, OD</t>
  </si>
  <si>
    <t>Sock, Nylon, Black (Stretchable)</t>
  </si>
  <si>
    <t>GOU (Tailored)</t>
  </si>
  <si>
    <t>Philippine ArmyTactical Shirt</t>
  </si>
  <si>
    <t>Philippine Army Athletic Uniform</t>
  </si>
  <si>
    <t>ANTONIO C ROTA JR</t>
  </si>
  <si>
    <t>Jan 24</t>
  </si>
  <si>
    <t>Bgen     General       PA</t>
  </si>
  <si>
    <t>Public Bidding (Framework Agreement)</t>
  </si>
  <si>
    <t>For Bonifacio, Taguig City</t>
  </si>
  <si>
    <t xml:space="preserve">            CGSC Class 75 </t>
  </si>
  <si>
    <t>Reversible Jacket, PHILARPAT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</si>
</sst>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3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name val="Arial Narrow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theme="0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1"/>
    <xf numFmtId="4" fontId="2" fillId="0" borderId="1"/>
    <xf numFmtId="164" fontId="5" fillId="0" borderId="0" applyFont="0" applyFill="0" applyBorder="0" applyAlignment="0" applyProtection="0"/>
    <xf numFmtId="164" fontId="5" fillId="0" borderId="1" applyFont="0" applyFill="0" applyBorder="0" applyAlignment="0" applyProtection="0"/>
    <xf numFmtId="0" fontId="7" fillId="0" borderId="1"/>
    <xf numFmtId="0" fontId="5" fillId="0" borderId="1"/>
    <xf numFmtId="0" fontId="7" fillId="0" borderId="1"/>
  </cellStyleXfs>
  <cellXfs count="288">
    <xf numFmtId="0" fontId="0" fillId="0" borderId="0" xfId="0"/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0" fontId="8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0" fontId="9" fillId="0" borderId="2" xfId="0" applyNumberFormat="1" applyFont="1" applyBorder="1" applyAlignment="1">
      <alignment vertical="center"/>
    </xf>
    <xf numFmtId="0" fontId="6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0" fontId="9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37" fontId="8" fillId="0" borderId="2" xfId="0" applyNumberFormat="1" applyFont="1" applyBorder="1" applyAlignment="1">
      <alignment horizontal="center" vertical="center" wrapText="1"/>
    </xf>
    <xf numFmtId="37" fontId="8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37" fontId="12" fillId="0" borderId="2" xfId="0" applyNumberFormat="1" applyFont="1" applyBorder="1" applyAlignment="1">
      <alignment vertical="center"/>
    </xf>
    <xf numFmtId="37" fontId="12" fillId="0" borderId="2" xfId="0" applyNumberFormat="1" applyFont="1" applyBorder="1" applyAlignment="1">
      <alignment horizontal="center" vertical="center"/>
    </xf>
    <xf numFmtId="164" fontId="12" fillId="0" borderId="2" xfId="4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4" fontId="10" fillId="0" borderId="2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4" applyFont="1" applyFill="1" applyBorder="1" applyAlignment="1">
      <alignment vertical="center" wrapText="1"/>
    </xf>
    <xf numFmtId="164" fontId="12" fillId="2" borderId="2" xfId="4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4" applyFont="1" applyFill="1" applyBorder="1" applyAlignment="1">
      <alignment vertical="center" wrapText="1"/>
    </xf>
    <xf numFmtId="164" fontId="12" fillId="3" borderId="2" xfId="4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37" fontId="10" fillId="2" borderId="2" xfId="0" applyNumberFormat="1" applyFont="1" applyFill="1" applyBorder="1" applyAlignment="1">
      <alignment horizontal="center" vertical="center"/>
    </xf>
    <xf numFmtId="164" fontId="12" fillId="0" borderId="2" xfId="4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164" fontId="11" fillId="0" borderId="2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 vertical="center" wrapText="1"/>
    </xf>
    <xf numFmtId="37" fontId="10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4" fontId="11" fillId="0" borderId="1" xfId="4" applyFont="1" applyAlignment="1">
      <alignment vertical="center"/>
    </xf>
    <xf numFmtId="37" fontId="11" fillId="0" borderId="1" xfId="0" applyNumberFormat="1" applyFont="1" applyBorder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4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4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37" fontId="15" fillId="0" borderId="2" xfId="0" applyNumberFormat="1" applyFont="1" applyBorder="1" applyAlignment="1">
      <alignment horizontal="center" vertical="center" wrapText="1"/>
    </xf>
    <xf numFmtId="37" fontId="15" fillId="5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37" fontId="14" fillId="0" borderId="2" xfId="0" applyNumberFormat="1" applyFont="1" applyBorder="1" applyAlignment="1">
      <alignment horizontal="center" vertical="center" wrapText="1"/>
    </xf>
    <xf numFmtId="37" fontId="14" fillId="5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40" fontId="15" fillId="0" borderId="2" xfId="0" applyNumberFormat="1" applyFont="1" applyBorder="1" applyAlignment="1">
      <alignment vertical="center"/>
    </xf>
    <xf numFmtId="40" fontId="15" fillId="5" borderId="2" xfId="0" applyNumberFormat="1" applyFont="1" applyFill="1" applyBorder="1" applyAlignment="1">
      <alignment vertical="center"/>
    </xf>
    <xf numFmtId="40" fontId="15" fillId="6" borderId="2" xfId="0" applyNumberFormat="1" applyFont="1" applyFill="1" applyBorder="1" applyAlignment="1">
      <alignment vertical="center"/>
    </xf>
    <xf numFmtId="40" fontId="14" fillId="0" borderId="2" xfId="0" applyNumberFormat="1" applyFont="1" applyBorder="1" applyAlignment="1">
      <alignment vertical="center"/>
    </xf>
    <xf numFmtId="40" fontId="14" fillId="5" borderId="2" xfId="0" applyNumberFormat="1" applyFont="1" applyFill="1" applyBorder="1" applyAlignment="1">
      <alignment vertical="center"/>
    </xf>
    <xf numFmtId="40" fontId="14" fillId="6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4" fontId="0" fillId="0" borderId="1" xfId="3" applyFont="1" applyBorder="1"/>
    <xf numFmtId="164" fontId="18" fillId="0" borderId="1" xfId="3" applyFont="1" applyBorder="1"/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/>
    </xf>
    <xf numFmtId="165" fontId="11" fillId="0" borderId="2" xfId="3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left" vertical="center"/>
    </xf>
    <xf numFmtId="0" fontId="20" fillId="8" borderId="2" xfId="0" applyFont="1" applyFill="1" applyBorder="1" applyAlignment="1">
      <alignment horizontal="center" vertical="center" wrapText="1"/>
    </xf>
    <xf numFmtId="165" fontId="11" fillId="8" borderId="2" xfId="3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64" fontId="11" fillId="8" borderId="2" xfId="4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/>
    </xf>
    <xf numFmtId="164" fontId="13" fillId="8" borderId="2" xfId="4" applyFont="1" applyFill="1" applyBorder="1" applyAlignment="1">
      <alignment horizontal="center" vertical="center"/>
    </xf>
    <xf numFmtId="164" fontId="23" fillId="0" borderId="2" xfId="3" applyFont="1" applyBorder="1" applyAlignment="1">
      <alignment vertical="center"/>
    </xf>
    <xf numFmtId="164" fontId="15" fillId="0" borderId="2" xfId="3" applyFont="1" applyBorder="1" applyAlignment="1">
      <alignment horizontal="center" vertical="center" wrapText="1"/>
    </xf>
    <xf numFmtId="164" fontId="15" fillId="5" borderId="2" xfId="3" applyFont="1" applyFill="1" applyBorder="1" applyAlignment="1">
      <alignment horizontal="center" vertical="center" wrapText="1"/>
    </xf>
    <xf numFmtId="164" fontId="3" fillId="5" borderId="2" xfId="3" applyFont="1" applyFill="1" applyBorder="1" applyAlignment="1">
      <alignment horizontal="center" vertical="center" wrapText="1"/>
    </xf>
    <xf numFmtId="164" fontId="18" fillId="0" borderId="1" xfId="0" applyNumberFormat="1" applyFont="1" applyBorder="1"/>
    <xf numFmtId="43" fontId="0" fillId="0" borderId="1" xfId="0" applyNumberFormat="1" applyBorder="1"/>
    <xf numFmtId="0" fontId="12" fillId="0" borderId="2" xfId="4" applyNumberFormat="1" applyFont="1" applyBorder="1" applyAlignment="1">
      <alignment horizontal="center" vertical="center"/>
    </xf>
    <xf numFmtId="40" fontId="3" fillId="5" borderId="2" xfId="0" applyNumberFormat="1" applyFont="1" applyFill="1" applyBorder="1" applyAlignment="1">
      <alignment vertical="center"/>
    </xf>
    <xf numFmtId="164" fontId="14" fillId="6" borderId="2" xfId="0" applyNumberFormat="1" applyFont="1" applyFill="1" applyBorder="1" applyAlignment="1">
      <alignment horizontal="center" vertical="center" wrapText="1"/>
    </xf>
    <xf numFmtId="164" fontId="24" fillId="0" borderId="1" xfId="4" applyFont="1" applyAlignment="1">
      <alignment vertical="center"/>
    </xf>
    <xf numFmtId="164" fontId="11" fillId="0" borderId="1" xfId="3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37" fontId="4" fillId="5" borderId="2" xfId="0" applyNumberFormat="1" applyFont="1" applyFill="1" applyBorder="1" applyAlignment="1">
      <alignment horizontal="center" vertical="center" wrapText="1"/>
    </xf>
    <xf numFmtId="40" fontId="4" fillId="5" borderId="2" xfId="0" applyNumberFormat="1" applyFont="1" applyFill="1" applyBorder="1" applyAlignment="1">
      <alignment vertical="center"/>
    </xf>
    <xf numFmtId="40" fontId="4" fillId="6" borderId="2" xfId="0" applyNumberFormat="1" applyFont="1" applyFill="1" applyBorder="1" applyAlignment="1">
      <alignment vertical="center"/>
    </xf>
    <xf numFmtId="164" fontId="4" fillId="0" borderId="2" xfId="3" applyFont="1" applyBorder="1" applyAlignment="1">
      <alignment horizontal="right" vertical="center" wrapText="1"/>
    </xf>
    <xf numFmtId="164" fontId="20" fillId="0" borderId="1" xfId="3" applyFont="1" applyBorder="1" applyAlignment="1">
      <alignment horizontal="center" vertical="center"/>
    </xf>
    <xf numFmtId="0" fontId="0" fillId="0" borderId="1" xfId="3" applyNumberFormat="1" applyFont="1" applyBorder="1"/>
    <xf numFmtId="0" fontId="18" fillId="0" borderId="1" xfId="3" applyNumberFormat="1" applyFont="1" applyBorder="1"/>
    <xf numFmtId="0" fontId="13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vertical="center" wrapText="1"/>
    </xf>
    <xf numFmtId="164" fontId="13" fillId="9" borderId="2" xfId="4" applyFont="1" applyFill="1" applyBorder="1" applyAlignment="1">
      <alignment vertical="center"/>
    </xf>
    <xf numFmtId="164" fontId="10" fillId="9" borderId="2" xfId="4" applyFont="1" applyFill="1" applyBorder="1" applyAlignment="1">
      <alignment vertical="center"/>
    </xf>
    <xf numFmtId="37" fontId="13" fillId="9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11" fillId="0" borderId="2" xfId="0" applyFont="1" applyBorder="1"/>
    <xf numFmtId="0" fontId="26" fillId="4" borderId="9" xfId="0" applyFont="1" applyFill="1" applyBorder="1" applyAlignment="1">
      <alignment horizontal="left" vertical="center" wrapText="1" readingOrder="1"/>
    </xf>
    <xf numFmtId="0" fontId="11" fillId="4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1" fillId="0" borderId="11" xfId="0" applyFont="1" applyBorder="1"/>
    <xf numFmtId="0" fontId="11" fillId="0" borderId="12" xfId="0" applyFont="1" applyBorder="1"/>
    <xf numFmtId="165" fontId="13" fillId="0" borderId="2" xfId="3" applyNumberFormat="1" applyFont="1" applyBorder="1" applyAlignment="1">
      <alignment vertical="center"/>
    </xf>
    <xf numFmtId="164" fontId="13" fillId="0" borderId="2" xfId="4" applyFont="1" applyBorder="1" applyAlignment="1">
      <alignment horizontal="center" vertical="center"/>
    </xf>
    <xf numFmtId="164" fontId="13" fillId="0" borderId="10" xfId="3" applyFont="1" applyBorder="1"/>
    <xf numFmtId="165" fontId="13" fillId="0" borderId="2" xfId="3" applyNumberFormat="1" applyFont="1" applyBorder="1"/>
    <xf numFmtId="164" fontId="13" fillId="0" borderId="2" xfId="4" applyFont="1" applyFill="1" applyBorder="1" applyAlignment="1">
      <alignment horizontal="center" vertical="center"/>
    </xf>
    <xf numFmtId="0" fontId="13" fillId="0" borderId="12" xfId="0" applyFont="1" applyBorder="1"/>
    <xf numFmtId="164" fontId="13" fillId="0" borderId="13" xfId="0" applyNumberFormat="1" applyFont="1" applyBorder="1"/>
    <xf numFmtId="0" fontId="13" fillId="11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5" fontId="12" fillId="0" borderId="2" xfId="3" applyNumberFormat="1" applyFont="1" applyBorder="1" applyAlignment="1">
      <alignment horizontal="center" vertical="center"/>
    </xf>
    <xf numFmtId="164" fontId="10" fillId="2" borderId="2" xfId="4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28" fillId="0" borderId="0" xfId="0" applyFont="1"/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/>
    <xf numFmtId="37" fontId="25" fillId="0" borderId="2" xfId="0" applyNumberFormat="1" applyFont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17" fontId="26" fillId="0" borderId="2" xfId="0" applyNumberFormat="1" applyFont="1" applyBorder="1" applyAlignment="1">
      <alignment horizontal="center" vertical="center" wrapText="1"/>
    </xf>
    <xf numFmtId="49" fontId="26" fillId="7" borderId="2" xfId="0" quotePrefix="1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0" fontId="26" fillId="0" borderId="2" xfId="0" applyNumberFormat="1" applyFont="1" applyBorder="1" applyAlignment="1">
      <alignment vertical="center"/>
    </xf>
    <xf numFmtId="40" fontId="25" fillId="0" borderId="2" xfId="0" applyNumberFormat="1" applyFont="1" applyBorder="1" applyAlignment="1">
      <alignment vertical="center"/>
    </xf>
    <xf numFmtId="0" fontId="29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40" fontId="28" fillId="0" borderId="3" xfId="0" applyNumberFormat="1" applyFont="1" applyBorder="1"/>
    <xf numFmtId="0" fontId="29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40" fontId="28" fillId="0" borderId="1" xfId="0" applyNumberFormat="1" applyFont="1" applyBorder="1"/>
    <xf numFmtId="0" fontId="29" fillId="0" borderId="0" xfId="0" applyFont="1"/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vertical="center"/>
    </xf>
    <xf numFmtId="164" fontId="28" fillId="0" borderId="1" xfId="3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164" fontId="25" fillId="0" borderId="1" xfId="4" applyFont="1" applyFill="1" applyAlignment="1">
      <alignment horizontal="center" vertical="center"/>
    </xf>
    <xf numFmtId="164" fontId="25" fillId="0" borderId="1" xfId="4" applyFont="1" applyFill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164" fontId="26" fillId="0" borderId="1" xfId="4" applyFont="1" applyFill="1" applyAlignment="1">
      <alignment horizontal="center" vertical="center"/>
    </xf>
    <xf numFmtId="164" fontId="26" fillId="0" borderId="1" xfId="4" applyFont="1" applyFill="1" applyAlignment="1">
      <alignment horizontal="left" vertical="center"/>
    </xf>
    <xf numFmtId="40" fontId="26" fillId="0" borderId="2" xfId="0" applyNumberFormat="1" applyFont="1" applyBorder="1" applyAlignment="1">
      <alignment horizontal="center" vertical="center"/>
    </xf>
    <xf numFmtId="40" fontId="25" fillId="0" borderId="2" xfId="0" applyNumberFormat="1" applyFont="1" applyBorder="1" applyAlignment="1">
      <alignment horizontal="center" vertical="center"/>
    </xf>
    <xf numFmtId="164" fontId="13" fillId="0" borderId="10" xfId="3" applyFont="1" applyBorder="1" applyAlignment="1">
      <alignment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center" vertical="center"/>
    </xf>
    <xf numFmtId="165" fontId="13" fillId="10" borderId="2" xfId="3" applyNumberFormat="1" applyFont="1" applyFill="1" applyBorder="1" applyAlignment="1">
      <alignment vertical="center"/>
    </xf>
    <xf numFmtId="164" fontId="13" fillId="10" borderId="2" xfId="4" applyFont="1" applyFill="1" applyBorder="1" applyAlignment="1">
      <alignment horizontal="center" vertical="center"/>
    </xf>
    <xf numFmtId="164" fontId="13" fillId="10" borderId="10" xfId="3" applyFont="1" applyFill="1" applyBorder="1"/>
    <xf numFmtId="0" fontId="13" fillId="11" borderId="8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vertical="center"/>
    </xf>
    <xf numFmtId="164" fontId="11" fillId="10" borderId="2" xfId="4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43" fontId="11" fillId="0" borderId="2" xfId="0" applyNumberFormat="1" applyFont="1" applyBorder="1" applyAlignment="1">
      <alignment horizontal="center" vertical="center"/>
    </xf>
    <xf numFmtId="164" fontId="10" fillId="0" borderId="1" xfId="3" applyFont="1" applyBorder="1" applyAlignment="1">
      <alignment vertical="center" wrapText="1"/>
    </xf>
    <xf numFmtId="164" fontId="12" fillId="0" borderId="2" xfId="3" applyFont="1" applyBorder="1" applyAlignment="1">
      <alignment horizontal="center" vertical="center"/>
    </xf>
    <xf numFmtId="164" fontId="10" fillId="0" borderId="2" xfId="3" applyFont="1" applyBorder="1" applyAlignment="1">
      <alignment horizontal="center" vertical="center" wrapText="1"/>
    </xf>
    <xf numFmtId="164" fontId="10" fillId="2" borderId="2" xfId="3" applyFont="1" applyFill="1" applyBorder="1" applyAlignment="1">
      <alignment horizontal="center" vertical="center" wrapText="1"/>
    </xf>
    <xf numFmtId="164" fontId="11" fillId="0" borderId="2" xfId="3" applyFont="1" applyBorder="1" applyAlignment="1">
      <alignment horizontal="center" vertical="center"/>
    </xf>
    <xf numFmtId="164" fontId="19" fillId="8" borderId="2" xfId="3" applyFont="1" applyFill="1" applyBorder="1" applyAlignment="1">
      <alignment horizontal="center" vertical="center"/>
    </xf>
    <xf numFmtId="164" fontId="13" fillId="9" borderId="2" xfId="3" applyFont="1" applyFill="1" applyBorder="1" applyAlignment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12" fillId="0" borderId="1" xfId="3" applyFont="1" applyBorder="1" applyAlignment="1">
      <alignment horizontal="center" vertical="center"/>
    </xf>
    <xf numFmtId="164" fontId="12" fillId="0" borderId="1" xfId="3" applyFont="1" applyBorder="1" applyAlignment="1">
      <alignment horizontal="center" vertical="center" wrapText="1"/>
    </xf>
    <xf numFmtId="164" fontId="10" fillId="2" borderId="2" xfId="3" applyFont="1" applyFill="1" applyBorder="1" applyAlignment="1">
      <alignment horizontal="center" vertical="center"/>
    </xf>
    <xf numFmtId="164" fontId="11" fillId="3" borderId="2" xfId="3" applyFont="1" applyFill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11" borderId="2" xfId="4" applyFont="1" applyFill="1" applyBorder="1" applyAlignment="1">
      <alignment horizontal="center" vertical="center"/>
    </xf>
    <xf numFmtId="164" fontId="19" fillId="8" borderId="2" xfId="0" applyNumberFormat="1" applyFont="1" applyFill="1" applyBorder="1" applyAlignment="1">
      <alignment horizontal="center" vertical="center"/>
    </xf>
    <xf numFmtId="43" fontId="11" fillId="8" borderId="1" xfId="0" applyNumberFormat="1" applyFont="1" applyFill="1" applyBorder="1" applyAlignment="1">
      <alignment vertical="center"/>
    </xf>
    <xf numFmtId="0" fontId="11" fillId="11" borderId="2" xfId="0" applyFont="1" applyFill="1" applyBorder="1" applyAlignment="1">
      <alignment horizontal="center" vertical="center"/>
    </xf>
    <xf numFmtId="164" fontId="11" fillId="11" borderId="2" xfId="3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center" vertical="center"/>
    </xf>
    <xf numFmtId="164" fontId="11" fillId="4" borderId="2" xfId="4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0" fontId="3" fillId="0" borderId="2" xfId="0" applyNumberFormat="1" applyFont="1" applyBorder="1" applyAlignment="1">
      <alignment vertical="center"/>
    </xf>
    <xf numFmtId="164" fontId="28" fillId="0" borderId="1" xfId="3" applyFont="1" applyBorder="1" applyAlignment="1">
      <alignment horizontal="center" vertical="center" wrapText="1"/>
    </xf>
    <xf numFmtId="164" fontId="20" fillId="0" borderId="1" xfId="3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4" fontId="28" fillId="0" borderId="1" xfId="3" applyFont="1" applyBorder="1" applyAlignment="1">
      <alignment horizontal="center" vertical="center"/>
    </xf>
    <xf numFmtId="164" fontId="20" fillId="0" borderId="1" xfId="3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26" fillId="7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165" fontId="26" fillId="4" borderId="0" xfId="3" applyNumberFormat="1" applyFont="1" applyFill="1"/>
    <xf numFmtId="164" fontId="28" fillId="0" borderId="0" xfId="3" applyFont="1"/>
    <xf numFmtId="43" fontId="29" fillId="0" borderId="1" xfId="0" applyNumberFormat="1" applyFont="1" applyBorder="1" applyAlignment="1">
      <alignment vertical="center"/>
    </xf>
    <xf numFmtId="0" fontId="26" fillId="0" borderId="0" xfId="0" applyFont="1" applyAlignment="1">
      <alignment vertical="center" wrapText="1"/>
    </xf>
    <xf numFmtId="164" fontId="28" fillId="0" borderId="1" xfId="3" applyFont="1" applyBorder="1" applyAlignment="1">
      <alignment vertical="center"/>
    </xf>
    <xf numFmtId="164" fontId="0" fillId="0" borderId="0" xfId="3" applyFont="1"/>
    <xf numFmtId="43" fontId="0" fillId="0" borderId="0" xfId="0" applyNumberFormat="1"/>
    <xf numFmtId="0" fontId="11" fillId="4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30" fillId="8" borderId="2" xfId="0" applyFont="1" applyFill="1" applyBorder="1" applyAlignment="1">
      <alignment horizontal="center" vertical="center"/>
    </xf>
    <xf numFmtId="166" fontId="0" fillId="0" borderId="1" xfId="0" applyNumberFormat="1" applyBorder="1"/>
    <xf numFmtId="40" fontId="0" fillId="0" borderId="1" xfId="0" applyNumberFormat="1" applyBorder="1"/>
    <xf numFmtId="164" fontId="7" fillId="0" borderId="1" xfId="3" applyFont="1" applyBorder="1" applyAlignment="1">
      <alignment vertical="center"/>
    </xf>
    <xf numFmtId="43" fontId="16" fillId="0" borderId="1" xfId="0" applyNumberFormat="1" applyFont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/>
    <xf numFmtId="0" fontId="2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2" xfId="0" applyFont="1" applyBorder="1"/>
    <xf numFmtId="0" fontId="26" fillId="7" borderId="7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164" fontId="10" fillId="0" borderId="1" xfId="4" applyFont="1" applyFill="1" applyAlignment="1">
      <alignment horizontal="left" vertical="center"/>
    </xf>
    <xf numFmtId="164" fontId="12" fillId="0" borderId="1" xfId="4" applyFont="1" applyFill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7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26" fillId="0" borderId="1" xfId="4" applyFont="1" applyFill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164" fontId="25" fillId="0" borderId="1" xfId="4" applyFont="1" applyFill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/>
    <xf numFmtId="0" fontId="14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14" fillId="0" borderId="1" xfId="0" applyFont="1" applyBorder="1" applyAlignment="1">
      <alignment vertical="center" wrapText="1"/>
    </xf>
    <xf numFmtId="0" fontId="0" fillId="0" borderId="1" xfId="0" applyBorder="1"/>
    <xf numFmtId="0" fontId="26" fillId="10" borderId="14" xfId="0" applyFont="1" applyFill="1" applyBorder="1" applyAlignment="1">
      <alignment horizontal="center" vertical="center" wrapText="1" readingOrder="1"/>
    </xf>
    <xf numFmtId="0" fontId="26" fillId="10" borderId="15" xfId="0" applyFont="1" applyFill="1" applyBorder="1" applyAlignment="1">
      <alignment horizontal="center" vertical="center" wrapText="1" readingOrder="1"/>
    </xf>
    <xf numFmtId="164" fontId="0" fillId="0" borderId="0" xfId="3" applyFont="1" applyAlignment="1">
      <alignment horizontal="center"/>
    </xf>
    <xf numFmtId="166" fontId="7" fillId="0" borderId="1" xfId="0" applyNumberFormat="1" applyFont="1" applyBorder="1" applyAlignment="1">
      <alignment vertical="center" wrapText="1"/>
    </xf>
  </cellXfs>
  <cellStyles count="8">
    <cellStyle name="body_style" xfId="2" xr:uid="{00000000-0005-0000-0000-000000000000}"/>
    <cellStyle name="Comma" xfId="3" builtinId="3"/>
    <cellStyle name="Comma 10" xfId="4" xr:uid="{00000000-0005-0000-0000-000002000000}"/>
    <cellStyle name="header_label_style" xfId="1" xr:uid="{00000000-0005-0000-0000-000003000000}"/>
    <cellStyle name="Normal" xfId="0" builtinId="0"/>
    <cellStyle name="Normal 2" xfId="7" xr:uid="{00000000-0005-0000-0000-000005000000}"/>
    <cellStyle name="Normal 3" xfId="5" xr:uid="{00000000-0005-0000-0000-000006000000}"/>
    <cellStyle name="Normal 4" xfId="6" xr:uid="{00000000-0005-0000-0000-000007000000}"/>
  </cellStyles>
  <dxfs count="0"/>
  <tableStyles count="0" defaultTableStyle="TableStyleMedium9" defaultPivotStyle="PivotStyleLight16"/>
  <colors>
    <mruColors>
      <color rgb="FFFFFF99"/>
      <color rgb="FFFFFFCC"/>
      <color rgb="FFCCFFCC"/>
      <color rgb="FFCCFF99"/>
      <color rgb="FF99CC00"/>
      <color rgb="FFCC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view="pageBreakPreview" zoomScaleSheetLayoutView="100" workbookViewId="0">
      <selection activeCell="K20" sqref="K20"/>
    </sheetView>
  </sheetViews>
  <sheetFormatPr defaultRowHeight="15" x14ac:dyDescent="0.25"/>
  <cols>
    <col min="1" max="1" width="5.7109375" style="18" customWidth="1"/>
    <col min="2" max="2" width="17" style="7" customWidth="1"/>
    <col min="3" max="3" width="19.42578125" customWidth="1"/>
    <col min="4" max="4" width="8.7109375" style="7" customWidth="1"/>
    <col min="5" max="5" width="16.28515625" style="7" customWidth="1"/>
    <col min="6" max="6" width="17.28515625" style="7" customWidth="1"/>
    <col min="7" max="7" width="10.42578125" customWidth="1"/>
    <col min="8" max="8" width="10.140625" customWidth="1"/>
    <col min="9" max="9" width="10.85546875" customWidth="1"/>
    <col min="10" max="10" width="11.42578125" customWidth="1"/>
    <col min="11" max="11" width="16.7109375" style="7" customWidth="1"/>
    <col min="12" max="12" width="19.7109375" customWidth="1"/>
    <col min="13" max="13" width="21" customWidth="1"/>
    <col min="14" max="14" width="12.140625" customWidth="1"/>
    <col min="15" max="15" width="11" customWidth="1"/>
    <col min="16" max="16" width="22.5703125" customWidth="1"/>
  </cols>
  <sheetData>
    <row r="1" spans="1:20" ht="15.75" x14ac:dyDescent="0.25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20" ht="15.75" x14ac:dyDescent="0.25">
      <c r="A2" s="250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20" ht="15.75" x14ac:dyDescent="0.25">
      <c r="A3" s="250" t="s">
        <v>49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20" ht="15.75" x14ac:dyDescent="0.25">
      <c r="A4" s="250" t="s">
        <v>256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20" ht="15.75" x14ac:dyDescent="0.25">
      <c r="A5" s="250" t="s">
        <v>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20" ht="15.75" customHeight="1" x14ac:dyDescent="0.25">
      <c r="A6" s="258" t="s">
        <v>59</v>
      </c>
      <c r="B6" s="251"/>
      <c r="C6" s="251"/>
      <c r="D6" s="251"/>
      <c r="E6" s="251"/>
      <c r="F6" s="251"/>
      <c r="G6" s="251"/>
      <c r="H6" s="251"/>
      <c r="I6" s="251"/>
      <c r="J6" s="253"/>
      <c r="K6" s="253"/>
      <c r="L6" s="253"/>
      <c r="M6" s="253"/>
      <c r="N6" s="253"/>
      <c r="O6" s="253"/>
      <c r="P6" s="253"/>
      <c r="Q6" s="90"/>
      <c r="R6" s="90"/>
      <c r="S6" s="90"/>
      <c r="T6" s="90"/>
    </row>
    <row r="7" spans="1:20" ht="15.75" x14ac:dyDescent="0.25">
      <c r="A7" s="250" t="s">
        <v>238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20" ht="15.75" x14ac:dyDescent="0.25">
      <c r="A8" s="250" t="s">
        <v>2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</row>
    <row r="9" spans="1:20" s="18" customFormat="1" ht="15.75" x14ac:dyDescent="0.25">
      <c r="A9" s="248" t="s">
        <v>3</v>
      </c>
      <c r="B9" s="248" t="s">
        <v>4</v>
      </c>
      <c r="C9" s="248" t="s">
        <v>5</v>
      </c>
      <c r="D9" s="248" t="s">
        <v>6</v>
      </c>
      <c r="E9" s="248" t="s">
        <v>239</v>
      </c>
      <c r="F9" s="248" t="s">
        <v>7</v>
      </c>
      <c r="G9" s="248" t="s">
        <v>8</v>
      </c>
      <c r="H9" s="254"/>
      <c r="I9" s="254"/>
      <c r="J9" s="254"/>
      <c r="K9" s="248" t="s">
        <v>9</v>
      </c>
      <c r="L9" s="248" t="s">
        <v>10</v>
      </c>
      <c r="M9" s="254"/>
      <c r="N9" s="154"/>
      <c r="O9" s="154"/>
      <c r="P9" s="153" t="s">
        <v>11</v>
      </c>
      <c r="Q9" s="22"/>
    </row>
    <row r="10" spans="1:20" s="18" customFormat="1" ht="47.25" x14ac:dyDescent="0.25">
      <c r="A10" s="249"/>
      <c r="B10" s="249"/>
      <c r="C10" s="254"/>
      <c r="D10" s="249"/>
      <c r="E10" s="249"/>
      <c r="F10" s="249"/>
      <c r="G10" s="153" t="s">
        <v>112</v>
      </c>
      <c r="H10" s="153" t="s">
        <v>57</v>
      </c>
      <c r="I10" s="153" t="s">
        <v>12</v>
      </c>
      <c r="J10" s="153" t="s">
        <v>13</v>
      </c>
      <c r="K10" s="249"/>
      <c r="L10" s="153" t="s">
        <v>14</v>
      </c>
      <c r="M10" s="153" t="s">
        <v>16</v>
      </c>
      <c r="N10" s="153" t="s">
        <v>15</v>
      </c>
      <c r="O10" s="153" t="s">
        <v>17</v>
      </c>
      <c r="P10" s="153" t="s">
        <v>18</v>
      </c>
      <c r="Q10" s="22"/>
    </row>
    <row r="11" spans="1:20" s="18" customFormat="1" ht="15.75" x14ac:dyDescent="0.25">
      <c r="A11" s="153">
        <v>1</v>
      </c>
      <c r="B11" s="153">
        <v>2</v>
      </c>
      <c r="C11" s="153">
        <v>3</v>
      </c>
      <c r="D11" s="153">
        <v>4</v>
      </c>
      <c r="E11" s="153">
        <v>5</v>
      </c>
      <c r="F11" s="153">
        <v>5</v>
      </c>
      <c r="G11" s="153">
        <v>6</v>
      </c>
      <c r="H11" s="153">
        <v>7</v>
      </c>
      <c r="I11" s="153">
        <v>8</v>
      </c>
      <c r="J11" s="153">
        <v>9</v>
      </c>
      <c r="K11" s="153">
        <v>10</v>
      </c>
      <c r="L11" s="153">
        <v>11</v>
      </c>
      <c r="M11" s="153">
        <v>12</v>
      </c>
      <c r="N11" s="153">
        <v>13</v>
      </c>
      <c r="O11" s="153">
        <v>14</v>
      </c>
      <c r="P11" s="153">
        <v>15</v>
      </c>
      <c r="Q11" s="22"/>
    </row>
    <row r="12" spans="1:20" ht="74.25" customHeight="1" x14ac:dyDescent="0.25">
      <c r="A12" s="155">
        <v>2</v>
      </c>
      <c r="B12" s="231" t="s">
        <v>243</v>
      </c>
      <c r="C12" s="231" t="s">
        <v>244</v>
      </c>
      <c r="D12" s="255" t="s">
        <v>114</v>
      </c>
      <c r="E12" s="156" t="s">
        <v>240</v>
      </c>
      <c r="F12" s="156" t="s">
        <v>116</v>
      </c>
      <c r="G12" s="157">
        <v>45200</v>
      </c>
      <c r="H12" s="157">
        <v>45200</v>
      </c>
      <c r="I12" s="158" t="s">
        <v>253</v>
      </c>
      <c r="J12" s="158" t="s">
        <v>253</v>
      </c>
      <c r="K12" s="159" t="s">
        <v>229</v>
      </c>
      <c r="L12" s="160">
        <f>M12</f>
        <v>2341400000</v>
      </c>
      <c r="M12" s="160">
        <f>PPMP!H14</f>
        <v>2341400000</v>
      </c>
      <c r="N12" s="184" t="s">
        <v>109</v>
      </c>
      <c r="O12" s="184" t="s">
        <v>109</v>
      </c>
      <c r="P12" s="220" t="s">
        <v>117</v>
      </c>
    </row>
    <row r="13" spans="1:20" ht="63.75" customHeight="1" x14ac:dyDescent="0.25">
      <c r="A13" s="153">
        <v>3</v>
      </c>
      <c r="B13" s="230" t="s">
        <v>115</v>
      </c>
      <c r="C13" s="156" t="s">
        <v>113</v>
      </c>
      <c r="D13" s="256"/>
      <c r="E13" s="156" t="s">
        <v>240</v>
      </c>
      <c r="F13" s="156" t="s">
        <v>116</v>
      </c>
      <c r="G13" s="157">
        <v>45200</v>
      </c>
      <c r="H13" s="157">
        <v>45200</v>
      </c>
      <c r="I13" s="158" t="s">
        <v>253</v>
      </c>
      <c r="J13" s="158" t="s">
        <v>253</v>
      </c>
      <c r="K13" s="159" t="s">
        <v>229</v>
      </c>
      <c r="L13" s="160">
        <f>M13</f>
        <v>590887815</v>
      </c>
      <c r="M13" s="160">
        <f>PPMP!H17</f>
        <v>590887815</v>
      </c>
      <c r="N13" s="184"/>
      <c r="O13" s="184"/>
      <c r="P13" s="220" t="s">
        <v>117</v>
      </c>
    </row>
    <row r="14" spans="1:20" ht="78.75" customHeight="1" x14ac:dyDescent="0.25">
      <c r="A14" s="155">
        <v>4</v>
      </c>
      <c r="B14" s="230" t="s">
        <v>115</v>
      </c>
      <c r="C14" s="156" t="s">
        <v>113</v>
      </c>
      <c r="D14" s="256"/>
      <c r="E14" s="156" t="s">
        <v>240</v>
      </c>
      <c r="F14" s="156" t="s">
        <v>255</v>
      </c>
      <c r="G14" s="157">
        <v>45200</v>
      </c>
      <c r="H14" s="157">
        <v>45200</v>
      </c>
      <c r="I14" s="158" t="s">
        <v>253</v>
      </c>
      <c r="J14" s="158" t="s">
        <v>253</v>
      </c>
      <c r="K14" s="159" t="s">
        <v>229</v>
      </c>
      <c r="L14" s="160">
        <f>M14</f>
        <v>9530000</v>
      </c>
      <c r="M14" s="160">
        <f>PPMP!H47</f>
        <v>9530000</v>
      </c>
      <c r="N14" s="184" t="s">
        <v>109</v>
      </c>
      <c r="O14" s="184" t="s">
        <v>109</v>
      </c>
      <c r="P14" s="220" t="s">
        <v>117</v>
      </c>
    </row>
    <row r="15" spans="1:20" ht="54.75" customHeight="1" x14ac:dyDescent="0.25">
      <c r="A15" s="153">
        <v>5</v>
      </c>
      <c r="B15" s="230" t="s">
        <v>115</v>
      </c>
      <c r="C15" s="156" t="s">
        <v>113</v>
      </c>
      <c r="D15" s="257"/>
      <c r="E15" s="156" t="s">
        <v>241</v>
      </c>
      <c r="F15" s="156" t="s">
        <v>39</v>
      </c>
      <c r="G15" s="157">
        <v>45292</v>
      </c>
      <c r="H15" s="158" t="s">
        <v>58</v>
      </c>
      <c r="I15" s="158" t="s">
        <v>227</v>
      </c>
      <c r="J15" s="158" t="s">
        <v>228</v>
      </c>
      <c r="K15" s="159" t="s">
        <v>229</v>
      </c>
      <c r="L15" s="160">
        <f>PPMP!H52</f>
        <v>40387185</v>
      </c>
      <c r="M15" s="160">
        <f>L15</f>
        <v>40387185</v>
      </c>
      <c r="N15" s="184" t="s">
        <v>109</v>
      </c>
      <c r="O15" s="184" t="s">
        <v>109</v>
      </c>
      <c r="P15" s="220" t="s">
        <v>232</v>
      </c>
    </row>
    <row r="16" spans="1:20" s="18" customFormat="1" ht="15.75" x14ac:dyDescent="0.25">
      <c r="A16" s="155">
        <v>6</v>
      </c>
      <c r="B16" s="248" t="s">
        <v>45</v>
      </c>
      <c r="C16" s="248"/>
      <c r="D16" s="248"/>
      <c r="E16" s="248"/>
      <c r="F16" s="248"/>
      <c r="G16" s="248"/>
      <c r="H16" s="248"/>
      <c r="I16" s="248"/>
      <c r="J16" s="248"/>
      <c r="K16" s="248"/>
      <c r="L16" s="161">
        <f>SUM(L12:L15)</f>
        <v>2982205000</v>
      </c>
      <c r="M16" s="161">
        <f>SUM(M12:M15)</f>
        <v>2982205000</v>
      </c>
      <c r="N16" s="185" t="s">
        <v>109</v>
      </c>
      <c r="O16" s="185" t="s">
        <v>109</v>
      </c>
      <c r="P16" s="154"/>
    </row>
    <row r="17" spans="1:16" ht="15.75" x14ac:dyDescent="0.25">
      <c r="A17" s="162"/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64"/>
      <c r="N17" s="164"/>
      <c r="O17" s="164"/>
      <c r="P17" s="164"/>
    </row>
    <row r="18" spans="1:16" ht="15.75" x14ac:dyDescent="0.25">
      <c r="A18" s="166"/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9"/>
      <c r="M18" s="168"/>
      <c r="N18" s="168"/>
      <c r="O18" s="168"/>
      <c r="P18" s="168"/>
    </row>
    <row r="19" spans="1:16" ht="15.75" x14ac:dyDescent="0.25">
      <c r="A19" s="170"/>
      <c r="B19" s="171"/>
      <c r="C19" s="152"/>
      <c r="D19" s="171"/>
      <c r="E19" s="171"/>
      <c r="F19" s="171"/>
      <c r="G19" s="152"/>
      <c r="H19" s="152"/>
      <c r="I19" s="152"/>
      <c r="J19" s="152"/>
      <c r="K19" s="171"/>
      <c r="L19" s="152"/>
      <c r="M19" s="152"/>
      <c r="N19" s="152"/>
      <c r="O19" s="152"/>
      <c r="P19" s="152"/>
    </row>
    <row r="20" spans="1:16" ht="15.75" x14ac:dyDescent="0.25">
      <c r="A20" s="170"/>
      <c r="B20" s="171"/>
      <c r="C20" s="152"/>
      <c r="D20" s="171"/>
      <c r="E20" s="171"/>
      <c r="F20" s="171"/>
      <c r="G20" s="152"/>
      <c r="H20" s="152"/>
      <c r="I20" s="152"/>
      <c r="J20" s="152"/>
      <c r="K20" s="171"/>
      <c r="L20" s="152"/>
      <c r="M20" s="152"/>
      <c r="N20" s="152"/>
      <c r="O20" s="152"/>
      <c r="P20" s="152"/>
    </row>
    <row r="21" spans="1:16" ht="15.75" x14ac:dyDescent="0.25">
      <c r="A21" s="170"/>
      <c r="B21" s="171"/>
      <c r="C21" s="152"/>
      <c r="D21" s="171"/>
      <c r="E21" s="171"/>
      <c r="F21" s="171"/>
      <c r="G21" s="152"/>
      <c r="H21" s="152"/>
      <c r="I21" s="152"/>
      <c r="J21" s="152"/>
      <c r="K21" s="171"/>
      <c r="L21" s="152"/>
      <c r="M21" s="152"/>
      <c r="N21" s="232"/>
      <c r="O21" s="152"/>
      <c r="P21" s="233"/>
    </row>
    <row r="22" spans="1:16" s="9" customFormat="1" ht="15.75" customHeight="1" x14ac:dyDescent="0.25">
      <c r="A22" s="172"/>
      <c r="B22" s="173"/>
      <c r="C22" s="174" t="s">
        <v>46</v>
      </c>
      <c r="D22" s="173"/>
      <c r="E22" s="173"/>
      <c r="F22" s="173"/>
      <c r="H22" s="252" t="s">
        <v>47</v>
      </c>
      <c r="I22" s="252"/>
      <c r="J22" s="252"/>
      <c r="K22" s="152"/>
      <c r="L22" s="235"/>
      <c r="M22" s="152"/>
      <c r="N22" s="252" t="s">
        <v>48</v>
      </c>
      <c r="O22" s="252"/>
      <c r="P22" s="152"/>
    </row>
    <row r="23" spans="1:16" s="9" customFormat="1" ht="15.75" x14ac:dyDescent="0.2">
      <c r="A23" s="175"/>
      <c r="B23" s="176"/>
      <c r="C23" s="167"/>
      <c r="D23" s="177"/>
      <c r="E23" s="177"/>
      <c r="F23" s="177"/>
      <c r="H23" s="177"/>
      <c r="I23" s="177"/>
      <c r="J23" s="177"/>
      <c r="K23" s="177"/>
      <c r="L23" s="178"/>
      <c r="M23" s="178"/>
      <c r="N23" s="178"/>
      <c r="O23" s="178"/>
      <c r="P23" s="178"/>
    </row>
    <row r="24" spans="1:16" s="9" customFormat="1" ht="15.75" x14ac:dyDescent="0.2">
      <c r="A24" s="175"/>
      <c r="B24" s="167"/>
      <c r="C24" s="167"/>
      <c r="D24" s="177"/>
      <c r="E24" s="177"/>
      <c r="F24" s="177"/>
      <c r="H24" s="177"/>
      <c r="I24" s="177"/>
      <c r="J24" s="177"/>
      <c r="K24" s="177"/>
      <c r="L24" s="178"/>
      <c r="M24" s="178"/>
      <c r="N24" s="178"/>
      <c r="O24" s="178"/>
      <c r="P24" s="178"/>
    </row>
    <row r="25" spans="1:16" s="11" customFormat="1" ht="15.75" x14ac:dyDescent="0.25">
      <c r="A25" s="175"/>
      <c r="B25" s="179"/>
      <c r="C25" s="180" t="s">
        <v>51</v>
      </c>
      <c r="D25" s="181"/>
      <c r="E25" s="181"/>
      <c r="F25" s="181"/>
      <c r="H25" s="197" t="s">
        <v>252</v>
      </c>
      <c r="I25" s="197"/>
      <c r="J25" s="197"/>
      <c r="K25" s="181"/>
      <c r="L25" s="175"/>
      <c r="M25" s="175"/>
      <c r="N25" s="175" t="s">
        <v>52</v>
      </c>
      <c r="O25" s="175"/>
      <c r="P25" s="234"/>
    </row>
    <row r="26" spans="1:16" s="9" customFormat="1" ht="15.75" x14ac:dyDescent="0.25">
      <c r="A26" s="175"/>
      <c r="B26" s="182"/>
      <c r="C26" s="183" t="s">
        <v>53</v>
      </c>
      <c r="D26" s="177"/>
      <c r="E26" s="177"/>
      <c r="F26" s="177"/>
      <c r="H26" s="178" t="s">
        <v>254</v>
      </c>
      <c r="I26" s="196"/>
      <c r="J26" s="196"/>
      <c r="K26" s="177"/>
      <c r="L26" s="178"/>
      <c r="M26" s="178"/>
      <c r="N26" s="178" t="s">
        <v>54</v>
      </c>
      <c r="O26" s="236"/>
      <c r="P26" s="178"/>
    </row>
    <row r="27" spans="1:16" s="9" customFormat="1" ht="15.75" x14ac:dyDescent="0.25">
      <c r="A27" s="175"/>
      <c r="B27" s="182"/>
      <c r="C27" s="183" t="s">
        <v>55</v>
      </c>
      <c r="D27" s="177"/>
      <c r="E27" s="177"/>
      <c r="F27" s="177"/>
      <c r="H27" s="196" t="s">
        <v>242</v>
      </c>
      <c r="I27" s="196"/>
      <c r="J27" s="196"/>
      <c r="K27" s="177"/>
      <c r="L27" s="178"/>
      <c r="M27" s="178"/>
      <c r="N27" s="178" t="s">
        <v>56</v>
      </c>
      <c r="O27" s="178"/>
      <c r="P27" s="178"/>
    </row>
    <row r="28" spans="1:16" s="9" customFormat="1" x14ac:dyDescent="0.25">
      <c r="A28" s="12"/>
      <c r="B28" s="10"/>
      <c r="D28" s="10"/>
      <c r="E28" s="10"/>
      <c r="F28" s="10"/>
      <c r="G28" s="10"/>
      <c r="H28" s="10"/>
      <c r="I28" s="10"/>
      <c r="J28" s="10"/>
      <c r="K28" s="10"/>
    </row>
    <row r="34" spans="6:15" x14ac:dyDescent="0.25">
      <c r="F34" s="286">
        <f>2341400000</f>
        <v>2341400000</v>
      </c>
      <c r="M34">
        <v>407200</v>
      </c>
      <c r="N34">
        <v>1943200</v>
      </c>
      <c r="O34" s="237">
        <v>2350400000</v>
      </c>
    </row>
    <row r="35" spans="6:15" x14ac:dyDescent="0.25">
      <c r="F35" s="286">
        <v>640805000</v>
      </c>
      <c r="M35">
        <v>447712</v>
      </c>
      <c r="N35">
        <v>286788</v>
      </c>
      <c r="O35" s="237">
        <v>734500000</v>
      </c>
    </row>
    <row r="36" spans="6:15" x14ac:dyDescent="0.25">
      <c r="F36" s="286">
        <f>SUM(F34:F35)</f>
        <v>2982205000</v>
      </c>
      <c r="O36" s="237">
        <f>SUM(O34:O35)</f>
        <v>3084900000</v>
      </c>
    </row>
    <row r="38" spans="6:15" x14ac:dyDescent="0.25">
      <c r="O38" s="238">
        <f>O36-L16</f>
        <v>102695000</v>
      </c>
    </row>
    <row r="63" spans="1:16" ht="45" x14ac:dyDescent="0.25">
      <c r="A63" s="24">
        <v>2</v>
      </c>
      <c r="B63" s="13" t="s">
        <v>19</v>
      </c>
      <c r="C63" s="14" t="s">
        <v>20</v>
      </c>
      <c r="D63" s="19" t="s">
        <v>21</v>
      </c>
      <c r="E63" s="13" t="s">
        <v>22</v>
      </c>
      <c r="F63" s="13" t="s">
        <v>22</v>
      </c>
      <c r="G63" s="20"/>
      <c r="H63" s="20"/>
      <c r="I63" s="20"/>
      <c r="J63" s="20"/>
      <c r="K63" s="19" t="s">
        <v>23</v>
      </c>
      <c r="L63" s="21">
        <v>8967284.9600000009</v>
      </c>
      <c r="M63" s="21">
        <v>8967284.9600000009</v>
      </c>
      <c r="N63" s="15"/>
      <c r="O63" s="15"/>
      <c r="P63" s="14"/>
    </row>
    <row r="64" spans="1:16" ht="45" x14ac:dyDescent="0.25">
      <c r="A64" s="23">
        <v>3</v>
      </c>
      <c r="B64" s="8"/>
      <c r="C64" s="16" t="s">
        <v>24</v>
      </c>
      <c r="D64" s="8" t="s">
        <v>25</v>
      </c>
      <c r="E64" s="8"/>
      <c r="F64" s="8"/>
      <c r="G64" s="16"/>
      <c r="H64" s="16"/>
      <c r="I64" s="16"/>
      <c r="J64" s="16"/>
      <c r="K64" s="8"/>
      <c r="L64" s="17">
        <v>259000</v>
      </c>
      <c r="M64" s="17">
        <v>259000</v>
      </c>
      <c r="N64" s="16"/>
      <c r="O64" s="16"/>
      <c r="P64" s="16" t="s">
        <v>26</v>
      </c>
    </row>
    <row r="65" spans="1:16" ht="45" x14ac:dyDescent="0.25">
      <c r="A65" s="23">
        <v>4</v>
      </c>
      <c r="B65" s="8"/>
      <c r="C65" s="16" t="s">
        <v>27</v>
      </c>
      <c r="D65" s="8" t="s">
        <v>25</v>
      </c>
      <c r="E65" s="8"/>
      <c r="F65" s="8"/>
      <c r="G65" s="16"/>
      <c r="H65" s="16"/>
      <c r="I65" s="16"/>
      <c r="J65" s="16"/>
      <c r="K65" s="8"/>
      <c r="L65" s="17">
        <v>639999.96</v>
      </c>
      <c r="M65" s="17">
        <v>639999.96</v>
      </c>
      <c r="N65" s="16"/>
      <c r="O65" s="16"/>
      <c r="P65" s="16" t="s">
        <v>26</v>
      </c>
    </row>
    <row r="66" spans="1:16" ht="45" x14ac:dyDescent="0.25">
      <c r="A66" s="23">
        <v>5</v>
      </c>
      <c r="B66" s="8"/>
      <c r="C66" s="16" t="s">
        <v>28</v>
      </c>
      <c r="D66" s="8" t="s">
        <v>25</v>
      </c>
      <c r="E66" s="8"/>
      <c r="F66" s="8"/>
      <c r="G66" s="16"/>
      <c r="H66" s="16"/>
      <c r="I66" s="16"/>
      <c r="J66" s="16"/>
      <c r="K66" s="8"/>
      <c r="L66" s="17">
        <v>100000</v>
      </c>
      <c r="M66" s="17">
        <v>100000</v>
      </c>
      <c r="N66" s="16"/>
      <c r="O66" s="16"/>
      <c r="P66" s="16" t="s">
        <v>26</v>
      </c>
    </row>
    <row r="67" spans="1:16" ht="45" x14ac:dyDescent="0.25">
      <c r="A67" s="23">
        <v>6</v>
      </c>
      <c r="B67" s="8"/>
      <c r="C67" s="16" t="s">
        <v>29</v>
      </c>
      <c r="D67" s="8" t="s">
        <v>25</v>
      </c>
      <c r="E67" s="8"/>
      <c r="F67" s="8"/>
      <c r="G67" s="16"/>
      <c r="H67" s="16"/>
      <c r="I67" s="16"/>
      <c r="J67" s="16"/>
      <c r="K67" s="8"/>
      <c r="L67" s="17">
        <v>457500</v>
      </c>
      <c r="M67" s="17">
        <v>457500</v>
      </c>
      <c r="N67" s="16"/>
      <c r="O67" s="16"/>
      <c r="P67" s="16" t="s">
        <v>26</v>
      </c>
    </row>
    <row r="68" spans="1:16" ht="45" x14ac:dyDescent="0.25">
      <c r="A68" s="23">
        <v>7</v>
      </c>
      <c r="B68" s="8"/>
      <c r="C68" s="16" t="s">
        <v>30</v>
      </c>
      <c r="D68" s="8" t="s">
        <v>25</v>
      </c>
      <c r="E68" s="8"/>
      <c r="F68" s="8"/>
      <c r="G68" s="16"/>
      <c r="H68" s="16"/>
      <c r="I68" s="16"/>
      <c r="J68" s="16"/>
      <c r="K68" s="8"/>
      <c r="L68" s="17">
        <v>226700</v>
      </c>
      <c r="M68" s="17">
        <v>226700</v>
      </c>
      <c r="N68" s="16"/>
      <c r="O68" s="16"/>
      <c r="P68" s="16" t="s">
        <v>26</v>
      </c>
    </row>
    <row r="69" spans="1:16" ht="45" x14ac:dyDescent="0.25">
      <c r="A69" s="23">
        <v>8</v>
      </c>
      <c r="B69" s="8"/>
      <c r="C69" s="16" t="s">
        <v>31</v>
      </c>
      <c r="D69" s="8" t="s">
        <v>25</v>
      </c>
      <c r="E69" s="8"/>
      <c r="F69" s="8"/>
      <c r="G69" s="16"/>
      <c r="H69" s="16"/>
      <c r="I69" s="16"/>
      <c r="J69" s="16"/>
      <c r="K69" s="8"/>
      <c r="L69" s="17">
        <v>1776555</v>
      </c>
      <c r="M69" s="17">
        <v>1776555</v>
      </c>
      <c r="N69" s="16"/>
      <c r="O69" s="16"/>
      <c r="P69" s="16" t="s">
        <v>26</v>
      </c>
    </row>
    <row r="70" spans="1:16" ht="45" x14ac:dyDescent="0.25">
      <c r="A70" s="23">
        <v>9</v>
      </c>
      <c r="B70" s="8"/>
      <c r="C70" s="16" t="s">
        <v>32</v>
      </c>
      <c r="D70" s="8" t="s">
        <v>25</v>
      </c>
      <c r="E70" s="8"/>
      <c r="F70" s="8"/>
      <c r="G70" s="16"/>
      <c r="H70" s="16"/>
      <c r="I70" s="16"/>
      <c r="J70" s="16"/>
      <c r="K70" s="8"/>
      <c r="L70" s="17">
        <v>440000</v>
      </c>
      <c r="M70" s="17">
        <v>440000</v>
      </c>
      <c r="N70" s="16"/>
      <c r="O70" s="16"/>
      <c r="P70" s="16" t="s">
        <v>26</v>
      </c>
    </row>
    <row r="71" spans="1:16" ht="45" x14ac:dyDescent="0.25">
      <c r="A71" s="23">
        <v>10</v>
      </c>
      <c r="B71" s="8"/>
      <c r="C71" s="16" t="s">
        <v>33</v>
      </c>
      <c r="D71" s="8" t="s">
        <v>25</v>
      </c>
      <c r="E71" s="8"/>
      <c r="F71" s="8"/>
      <c r="G71" s="16"/>
      <c r="H71" s="16"/>
      <c r="I71" s="16"/>
      <c r="J71" s="16"/>
      <c r="K71" s="8"/>
      <c r="L71" s="17">
        <v>186000</v>
      </c>
      <c r="M71" s="17">
        <v>186000</v>
      </c>
      <c r="N71" s="16"/>
      <c r="O71" s="16"/>
      <c r="P71" s="16" t="s">
        <v>26</v>
      </c>
    </row>
    <row r="72" spans="1:16" ht="60" x14ac:dyDescent="0.25">
      <c r="A72" s="23">
        <v>11</v>
      </c>
      <c r="B72" s="8"/>
      <c r="C72" s="16" t="s">
        <v>34</v>
      </c>
      <c r="D72" s="8" t="s">
        <v>25</v>
      </c>
      <c r="E72" s="8"/>
      <c r="F72" s="8"/>
      <c r="G72" s="16"/>
      <c r="H72" s="16"/>
      <c r="I72" s="16"/>
      <c r="J72" s="16"/>
      <c r="K72" s="8"/>
      <c r="L72" s="17">
        <v>108000</v>
      </c>
      <c r="M72" s="17">
        <v>108000</v>
      </c>
      <c r="N72" s="16"/>
      <c r="O72" s="16"/>
      <c r="P72" s="16" t="s">
        <v>26</v>
      </c>
    </row>
    <row r="73" spans="1:16" ht="60" x14ac:dyDescent="0.25">
      <c r="A73" s="23">
        <v>12</v>
      </c>
      <c r="B73" s="8"/>
      <c r="C73" s="16" t="s">
        <v>35</v>
      </c>
      <c r="D73" s="8" t="s">
        <v>25</v>
      </c>
      <c r="E73" s="8"/>
      <c r="F73" s="8"/>
      <c r="G73" s="16"/>
      <c r="H73" s="16"/>
      <c r="I73" s="16"/>
      <c r="J73" s="16"/>
      <c r="K73" s="8"/>
      <c r="L73" s="17">
        <v>78000</v>
      </c>
      <c r="M73" s="17">
        <v>78000</v>
      </c>
      <c r="N73" s="16"/>
      <c r="O73" s="16"/>
      <c r="P73" s="16" t="s">
        <v>26</v>
      </c>
    </row>
    <row r="74" spans="1:16" ht="60" x14ac:dyDescent="0.25">
      <c r="A74" s="23">
        <v>13</v>
      </c>
      <c r="B74" s="8"/>
      <c r="C74" s="16" t="s">
        <v>36</v>
      </c>
      <c r="D74" s="8" t="s">
        <v>25</v>
      </c>
      <c r="E74" s="8"/>
      <c r="F74" s="8"/>
      <c r="G74" s="16"/>
      <c r="H74" s="16"/>
      <c r="I74" s="16"/>
      <c r="J74" s="16"/>
      <c r="K74" s="8"/>
      <c r="L74" s="17">
        <v>445530</v>
      </c>
      <c r="M74" s="17">
        <v>445530</v>
      </c>
      <c r="N74" s="16"/>
      <c r="O74" s="16"/>
      <c r="P74" s="16" t="s">
        <v>26</v>
      </c>
    </row>
    <row r="75" spans="1:16" ht="90" x14ac:dyDescent="0.25">
      <c r="A75" s="23">
        <v>14</v>
      </c>
      <c r="B75" s="8"/>
      <c r="C75" s="16" t="s">
        <v>37</v>
      </c>
      <c r="D75" s="8" t="s">
        <v>25</v>
      </c>
      <c r="E75" s="8"/>
      <c r="F75" s="8"/>
      <c r="G75" s="16"/>
      <c r="H75" s="16"/>
      <c r="I75" s="16"/>
      <c r="J75" s="16"/>
      <c r="K75" s="8"/>
      <c r="L75" s="17">
        <v>250000</v>
      </c>
      <c r="M75" s="17">
        <v>250000</v>
      </c>
      <c r="N75" s="16"/>
      <c r="O75" s="16"/>
      <c r="P75" s="16" t="s">
        <v>26</v>
      </c>
    </row>
    <row r="76" spans="1:16" ht="45" x14ac:dyDescent="0.25">
      <c r="A76" s="23">
        <v>15</v>
      </c>
      <c r="B76" s="8"/>
      <c r="C76" s="16" t="s">
        <v>38</v>
      </c>
      <c r="D76" s="8" t="s">
        <v>25</v>
      </c>
      <c r="E76" s="8"/>
      <c r="F76" s="8"/>
      <c r="G76" s="16"/>
      <c r="H76" s="16"/>
      <c r="I76" s="16"/>
      <c r="J76" s="16"/>
      <c r="K76" s="8"/>
      <c r="L76" s="17">
        <v>4000000</v>
      </c>
      <c r="M76" s="17">
        <v>4000000</v>
      </c>
      <c r="N76" s="16"/>
      <c r="O76" s="16"/>
      <c r="P76" s="16" t="s">
        <v>26</v>
      </c>
    </row>
  </sheetData>
  <mergeCells count="22">
    <mergeCell ref="N22:O22"/>
    <mergeCell ref="J6:P6"/>
    <mergeCell ref="E9:E10"/>
    <mergeCell ref="C9:C10"/>
    <mergeCell ref="D9:D10"/>
    <mergeCell ref="F9:F10"/>
    <mergeCell ref="G9:J9"/>
    <mergeCell ref="B16:K16"/>
    <mergeCell ref="H22:J22"/>
    <mergeCell ref="D12:D15"/>
    <mergeCell ref="A6:I6"/>
    <mergeCell ref="A7:P7"/>
    <mergeCell ref="A8:P8"/>
    <mergeCell ref="A9:A10"/>
    <mergeCell ref="B9:B10"/>
    <mergeCell ref="L9:M9"/>
    <mergeCell ref="K9:K10"/>
    <mergeCell ref="A1:P1"/>
    <mergeCell ref="A2:P2"/>
    <mergeCell ref="A3:P3"/>
    <mergeCell ref="A4:P4"/>
    <mergeCell ref="A5:P5"/>
  </mergeCells>
  <pageMargins left="0.11811023622047245" right="0" top="0.51181102362204722" bottom="0.35433070866141736" header="0.15748031496062992" footer="0.11811023622047245"/>
  <pageSetup paperSize="5" scale="70" fitToHeight="0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32"/>
  <sheetViews>
    <sheetView view="pageBreakPreview" topLeftCell="A85" zoomScale="90" zoomScaleNormal="90" zoomScaleSheetLayoutView="90" workbookViewId="0">
      <selection sqref="A1:U86"/>
    </sheetView>
  </sheetViews>
  <sheetFormatPr defaultRowHeight="14.25" x14ac:dyDescent="0.25"/>
  <cols>
    <col min="1" max="1" width="5.85546875" style="25" customWidth="1"/>
    <col min="2" max="2" width="15.28515625" style="51" customWidth="1"/>
    <col min="3" max="3" width="58.85546875" style="25" customWidth="1"/>
    <col min="4" max="4" width="10.28515625" style="51" customWidth="1"/>
    <col min="5" max="5" width="10.7109375" style="51" customWidth="1"/>
    <col min="6" max="6" width="12.42578125" style="51" customWidth="1"/>
    <col min="7" max="7" width="14.42578125" style="55" customWidth="1"/>
    <col min="8" max="8" width="20.42578125" style="55" customWidth="1"/>
    <col min="9" max="9" width="16.7109375" style="51" customWidth="1"/>
    <col min="10" max="10" width="6" style="51" customWidth="1"/>
    <col min="11" max="20" width="5" style="51" customWidth="1"/>
    <col min="21" max="21" width="4.85546875" style="51" customWidth="1"/>
    <col min="22" max="22" width="18" style="25" customWidth="1"/>
    <col min="23" max="26" width="5.42578125" style="25" customWidth="1"/>
    <col min="27" max="27" width="20.28515625" style="25" customWidth="1"/>
    <col min="28" max="29" width="5.42578125" style="25" customWidth="1"/>
    <col min="30" max="33" width="5.140625" style="25" customWidth="1"/>
    <col min="34" max="16384" width="9.140625" style="25"/>
  </cols>
  <sheetData>
    <row r="1" spans="1:34" ht="15" customHeight="1" x14ac:dyDescent="0.25">
      <c r="A1" s="250" t="s">
        <v>191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34" ht="15" customHeight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34" ht="15" customHeight="1" x14ac:dyDescent="0.25">
      <c r="A3" s="250" t="s">
        <v>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34" ht="15" customHeight="1" x14ac:dyDescent="0.25">
      <c r="A4" s="250" t="s">
        <v>256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34" ht="1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34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34" x14ac:dyDescent="0.2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</row>
    <row r="8" spans="1:34" x14ac:dyDescent="0.25">
      <c r="A8" s="253" t="s">
        <v>192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34" x14ac:dyDescent="0.25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</row>
    <row r="10" spans="1:34" x14ac:dyDescent="0.25">
      <c r="A10" s="267" t="s">
        <v>59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9"/>
      <c r="L10" s="270"/>
      <c r="M10" s="270"/>
      <c r="N10" s="270"/>
      <c r="O10" s="270"/>
      <c r="P10" s="270"/>
      <c r="Q10" s="270"/>
      <c r="R10" s="270"/>
      <c r="S10" s="270"/>
      <c r="T10" s="270"/>
      <c r="U10" s="270"/>
    </row>
    <row r="11" spans="1:34" ht="28.5" x14ac:dyDescent="0.25">
      <c r="A11" s="26" t="s">
        <v>60</v>
      </c>
      <c r="B11" s="26" t="s">
        <v>61</v>
      </c>
      <c r="C11" s="26" t="s">
        <v>62</v>
      </c>
      <c r="D11" s="26" t="s">
        <v>6</v>
      </c>
      <c r="E11" s="263" t="s">
        <v>63</v>
      </c>
      <c r="F11" s="264"/>
      <c r="G11" s="264"/>
      <c r="H11" s="27" t="s">
        <v>64</v>
      </c>
      <c r="I11" s="26" t="s">
        <v>7</v>
      </c>
      <c r="J11" s="263" t="s">
        <v>65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34" x14ac:dyDescent="0.25">
      <c r="A12" s="28">
        <v>1</v>
      </c>
      <c r="B12" s="30">
        <v>2</v>
      </c>
      <c r="C12" s="30">
        <v>3</v>
      </c>
      <c r="D12" s="30">
        <v>4</v>
      </c>
      <c r="E12" s="266">
        <v>5</v>
      </c>
      <c r="F12" s="265"/>
      <c r="G12" s="265"/>
      <c r="H12" s="110">
        <v>6</v>
      </c>
      <c r="I12" s="30">
        <v>7</v>
      </c>
      <c r="J12" s="30">
        <v>8</v>
      </c>
      <c r="K12" s="30">
        <v>9</v>
      </c>
      <c r="L12" s="30">
        <v>10</v>
      </c>
      <c r="M12" s="30">
        <v>11</v>
      </c>
      <c r="N12" s="30">
        <v>12</v>
      </c>
      <c r="O12" s="30">
        <v>13</v>
      </c>
      <c r="P12" s="30">
        <v>14</v>
      </c>
      <c r="Q12" s="30">
        <v>15</v>
      </c>
      <c r="R12" s="30">
        <v>16</v>
      </c>
      <c r="S12" s="30">
        <v>17</v>
      </c>
      <c r="T12" s="30">
        <v>18</v>
      </c>
      <c r="U12" s="30">
        <v>19</v>
      </c>
    </row>
    <row r="13" spans="1:34" s="34" customFormat="1" ht="30" x14ac:dyDescent="0.25">
      <c r="A13" s="28">
        <v>2</v>
      </c>
      <c r="B13" s="32"/>
      <c r="C13" s="32"/>
      <c r="D13" s="32"/>
      <c r="E13" s="32" t="s">
        <v>66</v>
      </c>
      <c r="F13" s="32" t="s">
        <v>67</v>
      </c>
      <c r="G13" s="33" t="s">
        <v>68</v>
      </c>
      <c r="H13" s="33"/>
      <c r="I13" s="32"/>
      <c r="J13" s="32" t="s">
        <v>69</v>
      </c>
      <c r="K13" s="32" t="s">
        <v>70</v>
      </c>
      <c r="L13" s="32" t="s">
        <v>71</v>
      </c>
      <c r="M13" s="32" t="s">
        <v>72</v>
      </c>
      <c r="N13" s="32" t="s">
        <v>73</v>
      </c>
      <c r="O13" s="32" t="s">
        <v>74</v>
      </c>
      <c r="P13" s="32" t="s">
        <v>75</v>
      </c>
      <c r="Q13" s="32" t="s">
        <v>76</v>
      </c>
      <c r="R13" s="32" t="s">
        <v>77</v>
      </c>
      <c r="S13" s="32" t="s">
        <v>78</v>
      </c>
      <c r="T13" s="32" t="s">
        <v>79</v>
      </c>
      <c r="U13" s="32" t="s">
        <v>80</v>
      </c>
    </row>
    <row r="14" spans="1:34" ht="30" x14ac:dyDescent="0.25">
      <c r="A14" s="28">
        <v>3</v>
      </c>
      <c r="B14" s="36" t="s">
        <v>243</v>
      </c>
      <c r="C14" s="35" t="s">
        <v>244</v>
      </c>
      <c r="D14" s="6" t="s">
        <v>114</v>
      </c>
      <c r="E14" s="36"/>
      <c r="F14" s="36"/>
      <c r="G14" s="37"/>
      <c r="H14" s="150">
        <f>SUM(H15:H16)</f>
        <v>2341400000</v>
      </c>
      <c r="I14" s="36" t="s">
        <v>118</v>
      </c>
      <c r="J14" s="36">
        <v>2</v>
      </c>
      <c r="K14" s="36">
        <f t="shared" ref="K14:U14" si="0">SUM(K15:K42)</f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  <c r="S14" s="36">
        <f t="shared" si="0"/>
        <v>0</v>
      </c>
      <c r="T14" s="36">
        <f t="shared" si="0"/>
        <v>0</v>
      </c>
      <c r="U14" s="36">
        <f t="shared" si="0"/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ht="15.75" x14ac:dyDescent="0.25">
      <c r="A15" s="28">
        <v>4</v>
      </c>
      <c r="B15" s="26"/>
      <c r="C15" s="229" t="s">
        <v>127</v>
      </c>
      <c r="D15" s="44"/>
      <c r="E15" s="93">
        <v>23000</v>
      </c>
      <c r="F15" s="44" t="s">
        <v>138</v>
      </c>
      <c r="G15" s="50">
        <v>25000</v>
      </c>
      <c r="H15" s="50">
        <f>E15*G15</f>
        <v>575000000</v>
      </c>
      <c r="I15" s="44"/>
      <c r="J15" s="92">
        <v>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34" ht="15.75" x14ac:dyDescent="0.25">
      <c r="A16" s="28">
        <v>5</v>
      </c>
      <c r="B16" s="26"/>
      <c r="C16" s="229" t="s">
        <v>245</v>
      </c>
      <c r="D16" s="44"/>
      <c r="E16" s="93">
        <v>23000</v>
      </c>
      <c r="F16" s="44" t="s">
        <v>138</v>
      </c>
      <c r="G16" s="50">
        <v>76800</v>
      </c>
      <c r="H16" s="50">
        <f t="shared" ref="H16" si="1">E16*G16</f>
        <v>1766400000</v>
      </c>
      <c r="I16" s="44"/>
      <c r="J16" s="92">
        <v>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34" ht="30" x14ac:dyDescent="0.25">
      <c r="A17" s="28">
        <v>6</v>
      </c>
      <c r="B17" s="36" t="s">
        <v>115</v>
      </c>
      <c r="C17" s="35" t="s">
        <v>113</v>
      </c>
      <c r="D17" s="6" t="s">
        <v>114</v>
      </c>
      <c r="E17" s="36"/>
      <c r="F17" s="36"/>
      <c r="G17" s="37"/>
      <c r="H17" s="150">
        <f>SUM(H18:H46)</f>
        <v>590887815</v>
      </c>
      <c r="I17" s="36" t="s">
        <v>118</v>
      </c>
      <c r="J17" s="36">
        <f>SUM(J18:J46)</f>
        <v>29</v>
      </c>
      <c r="K17" s="36">
        <f t="shared" ref="K17:U17" si="2">SUM(K18:K45)</f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36">
        <f t="shared" si="2"/>
        <v>0</v>
      </c>
      <c r="S17" s="36">
        <f t="shared" si="2"/>
        <v>0</v>
      </c>
      <c r="T17" s="36">
        <f t="shared" si="2"/>
        <v>0</v>
      </c>
      <c r="U17" s="36">
        <f t="shared" si="2"/>
        <v>0</v>
      </c>
      <c r="V17" s="25">
        <v>447712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ht="15.75" x14ac:dyDescent="0.25">
      <c r="A18" s="28">
        <v>7</v>
      </c>
      <c r="B18" s="26"/>
      <c r="C18" s="239" t="s">
        <v>196</v>
      </c>
      <c r="D18" s="44"/>
      <c r="E18" s="93">
        <f>19430</f>
        <v>19430</v>
      </c>
      <c r="F18" s="44" t="s">
        <v>83</v>
      </c>
      <c r="G18" s="50">
        <v>2800</v>
      </c>
      <c r="H18" s="50">
        <f>E18*G18</f>
        <v>54404000</v>
      </c>
      <c r="I18" s="44"/>
      <c r="J18" s="92">
        <v>1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5">
        <v>286788</v>
      </c>
    </row>
    <row r="19" spans="1:34" ht="15.75" x14ac:dyDescent="0.25">
      <c r="A19" s="28">
        <v>8</v>
      </c>
      <c r="B19" s="26"/>
      <c r="C19" s="239" t="s">
        <v>119</v>
      </c>
      <c r="D19" s="44"/>
      <c r="E19" s="93">
        <f>5005</f>
        <v>5005</v>
      </c>
      <c r="F19" s="44" t="s">
        <v>138</v>
      </c>
      <c r="G19" s="50">
        <v>450</v>
      </c>
      <c r="H19" s="50">
        <f t="shared" ref="H19:H46" si="3">E19*G19</f>
        <v>2252250</v>
      </c>
      <c r="I19" s="44"/>
      <c r="J19" s="92">
        <v>1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5">
        <f>SUM(V17:V18)</f>
        <v>734500</v>
      </c>
    </row>
    <row r="20" spans="1:34" ht="15.75" x14ac:dyDescent="0.25">
      <c r="A20" s="28">
        <v>9</v>
      </c>
      <c r="B20" s="26"/>
      <c r="C20" s="239" t="s">
        <v>120</v>
      </c>
      <c r="D20" s="44"/>
      <c r="E20" s="93">
        <v>15470</v>
      </c>
      <c r="F20" s="44" t="s">
        <v>138</v>
      </c>
      <c r="G20" s="50">
        <v>500</v>
      </c>
      <c r="H20" s="50">
        <f t="shared" si="3"/>
        <v>7735000</v>
      </c>
      <c r="I20" s="44"/>
      <c r="J20" s="92">
        <v>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34" ht="15.75" x14ac:dyDescent="0.25">
      <c r="A21" s="28">
        <v>10</v>
      </c>
      <c r="B21" s="26"/>
      <c r="C21" s="239" t="s">
        <v>246</v>
      </c>
      <c r="D21" s="44"/>
      <c r="E21" s="93">
        <v>8000</v>
      </c>
      <c r="F21" s="44" t="s">
        <v>138</v>
      </c>
      <c r="G21" s="50">
        <v>250</v>
      </c>
      <c r="H21" s="50">
        <f t="shared" ref="H21" si="4">E21*G21</f>
        <v>2000000</v>
      </c>
      <c r="I21" s="44"/>
      <c r="J21" s="92">
        <v>1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34" ht="15.75" x14ac:dyDescent="0.25">
      <c r="A22" s="28">
        <v>11</v>
      </c>
      <c r="B22" s="26"/>
      <c r="C22" s="239" t="s">
        <v>247</v>
      </c>
      <c r="D22" s="44"/>
      <c r="E22" s="93">
        <v>8000</v>
      </c>
      <c r="F22" s="44" t="s">
        <v>138</v>
      </c>
      <c r="G22" s="50">
        <v>250</v>
      </c>
      <c r="H22" s="50">
        <f t="shared" ref="H22" si="5">E22*G22</f>
        <v>2000000</v>
      </c>
      <c r="I22" s="44"/>
      <c r="J22" s="92">
        <v>1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34" ht="15.75" x14ac:dyDescent="0.25">
      <c r="A23" s="28">
        <v>12</v>
      </c>
      <c r="B23" s="26"/>
      <c r="C23" s="239" t="s">
        <v>121</v>
      </c>
      <c r="D23" s="44"/>
      <c r="E23" s="93">
        <f>5400</f>
        <v>5400</v>
      </c>
      <c r="F23" s="44" t="s">
        <v>138</v>
      </c>
      <c r="G23" s="50">
        <v>550</v>
      </c>
      <c r="H23" s="50">
        <f t="shared" si="3"/>
        <v>2970000</v>
      </c>
      <c r="I23" s="44"/>
      <c r="J23" s="92">
        <v>1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34" x14ac:dyDescent="0.25">
      <c r="A24" s="28">
        <v>13</v>
      </c>
      <c r="B24" s="26"/>
      <c r="C24" s="147" t="s">
        <v>141</v>
      </c>
      <c r="D24" s="44"/>
      <c r="E24" s="93">
        <v>7062</v>
      </c>
      <c r="F24" s="44" t="s">
        <v>138</v>
      </c>
      <c r="G24" s="50">
        <v>500</v>
      </c>
      <c r="H24" s="219">
        <f>E24*G24</f>
        <v>3531000</v>
      </c>
      <c r="I24" s="44"/>
      <c r="J24" s="44">
        <v>1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34" ht="15.75" x14ac:dyDescent="0.25">
      <c r="A25" s="28">
        <v>14</v>
      </c>
      <c r="B25" s="26"/>
      <c r="C25" s="239" t="s">
        <v>122</v>
      </c>
      <c r="D25" s="44"/>
      <c r="E25" s="93">
        <v>4400</v>
      </c>
      <c r="F25" s="44" t="s">
        <v>138</v>
      </c>
      <c r="G25" s="50">
        <v>1600</v>
      </c>
      <c r="H25" s="50">
        <f t="shared" si="3"/>
        <v>7040000</v>
      </c>
      <c r="I25" s="44"/>
      <c r="J25" s="92">
        <v>1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34" x14ac:dyDescent="0.25">
      <c r="A26" s="28">
        <v>15</v>
      </c>
      <c r="B26" s="26"/>
      <c r="C26" s="240" t="s">
        <v>152</v>
      </c>
      <c r="D26" s="44"/>
      <c r="E26" s="93">
        <f>440+165+7062</f>
        <v>7667</v>
      </c>
      <c r="F26" s="44" t="s">
        <v>138</v>
      </c>
      <c r="G26" s="50">
        <v>645</v>
      </c>
      <c r="H26" s="50">
        <f>E26*G26</f>
        <v>4945215</v>
      </c>
      <c r="I26" s="44"/>
      <c r="J26" s="44">
        <v>1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34" ht="15.75" x14ac:dyDescent="0.25">
      <c r="A27" s="28">
        <v>16</v>
      </c>
      <c r="B27" s="26"/>
      <c r="C27" s="239" t="s">
        <v>123</v>
      </c>
      <c r="D27" s="44"/>
      <c r="E27" s="93">
        <v>5565</v>
      </c>
      <c r="F27" s="44" t="s">
        <v>138</v>
      </c>
      <c r="G27" s="50">
        <v>1600</v>
      </c>
      <c r="H27" s="50">
        <f t="shared" si="3"/>
        <v>8904000</v>
      </c>
      <c r="I27" s="44"/>
      <c r="J27" s="92">
        <v>1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34" ht="15.75" x14ac:dyDescent="0.25">
      <c r="A28" s="28">
        <v>17</v>
      </c>
      <c r="B28" s="26"/>
      <c r="C28" s="241" t="s">
        <v>225</v>
      </c>
      <c r="D28" s="44"/>
      <c r="E28" s="93">
        <v>17000</v>
      </c>
      <c r="F28" s="44" t="s">
        <v>138</v>
      </c>
      <c r="G28" s="50">
        <v>2200</v>
      </c>
      <c r="H28" s="50">
        <f t="shared" si="3"/>
        <v>37400000</v>
      </c>
      <c r="I28" s="44"/>
      <c r="J28" s="92">
        <v>1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34" ht="15.75" x14ac:dyDescent="0.25">
      <c r="A29" s="28">
        <v>17</v>
      </c>
      <c r="B29" s="26"/>
      <c r="C29" s="241" t="s">
        <v>258</v>
      </c>
      <c r="D29" s="44"/>
      <c r="E29" s="93">
        <v>3500</v>
      </c>
      <c r="F29" s="44" t="s">
        <v>138</v>
      </c>
      <c r="G29" s="50">
        <v>4000</v>
      </c>
      <c r="H29" s="50">
        <f t="shared" ref="H29" si="6">E29*G29</f>
        <v>14000000</v>
      </c>
      <c r="I29" s="44"/>
      <c r="J29" s="92">
        <v>1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34" ht="15.75" x14ac:dyDescent="0.25">
      <c r="A30" s="28">
        <v>18</v>
      </c>
      <c r="B30" s="26"/>
      <c r="C30" s="241" t="s">
        <v>226</v>
      </c>
      <c r="D30" s="44"/>
      <c r="E30" s="93">
        <v>21715</v>
      </c>
      <c r="F30" s="44" t="s">
        <v>138</v>
      </c>
      <c r="G30" s="50">
        <v>200</v>
      </c>
      <c r="H30" s="50">
        <f t="shared" si="3"/>
        <v>4343000</v>
      </c>
      <c r="I30" s="44"/>
      <c r="J30" s="92">
        <v>1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34" ht="15.75" x14ac:dyDescent="0.25">
      <c r="A31" s="28">
        <v>19</v>
      </c>
      <c r="B31" s="26"/>
      <c r="C31" s="239" t="s">
        <v>124</v>
      </c>
      <c r="D31" s="44"/>
      <c r="E31" s="93">
        <v>5400</v>
      </c>
      <c r="F31" s="44" t="s">
        <v>138</v>
      </c>
      <c r="G31" s="50">
        <v>650</v>
      </c>
      <c r="H31" s="50">
        <f t="shared" si="3"/>
        <v>3510000</v>
      </c>
      <c r="I31" s="44"/>
      <c r="J31" s="92">
        <v>1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34" ht="15.75" x14ac:dyDescent="0.25">
      <c r="A32" s="28">
        <v>20</v>
      </c>
      <c r="B32" s="26"/>
      <c r="C32" s="239" t="s">
        <v>125</v>
      </c>
      <c r="D32" s="44"/>
      <c r="E32" s="93">
        <v>5400</v>
      </c>
      <c r="F32" s="44" t="s">
        <v>138</v>
      </c>
      <c r="G32" s="50">
        <v>350</v>
      </c>
      <c r="H32" s="50">
        <f t="shared" si="3"/>
        <v>1890000</v>
      </c>
      <c r="I32" s="44"/>
      <c r="J32" s="92">
        <v>1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34" ht="15.75" x14ac:dyDescent="0.25">
      <c r="A33" s="28">
        <v>22</v>
      </c>
      <c r="B33" s="26"/>
      <c r="C33" s="239" t="s">
        <v>126</v>
      </c>
      <c r="D33" s="44"/>
      <c r="E33" s="93">
        <v>1000</v>
      </c>
      <c r="F33" s="44" t="s">
        <v>138</v>
      </c>
      <c r="G33" s="50">
        <v>5500</v>
      </c>
      <c r="H33" s="50">
        <f t="shared" si="3"/>
        <v>5500000</v>
      </c>
      <c r="I33" s="44"/>
      <c r="J33" s="92">
        <v>1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34" ht="15.75" x14ac:dyDescent="0.25">
      <c r="A34" s="28">
        <v>24</v>
      </c>
      <c r="B34" s="26"/>
      <c r="C34" s="239" t="s">
        <v>128</v>
      </c>
      <c r="D34" s="44"/>
      <c r="E34" s="93">
        <v>51078</v>
      </c>
      <c r="F34" s="44" t="s">
        <v>83</v>
      </c>
      <c r="G34" s="50">
        <v>4025</v>
      </c>
      <c r="H34" s="50">
        <f t="shared" si="3"/>
        <v>205588950</v>
      </c>
      <c r="I34" s="44"/>
      <c r="J34" s="92">
        <v>1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34" ht="15.75" x14ac:dyDescent="0.25">
      <c r="A35" s="28">
        <v>25</v>
      </c>
      <c r="B35" s="26"/>
      <c r="C35" s="239" t="s">
        <v>129</v>
      </c>
      <c r="D35" s="44"/>
      <c r="E35" s="93">
        <f>29380+7579</f>
        <v>36959</v>
      </c>
      <c r="F35" s="44" t="s">
        <v>82</v>
      </c>
      <c r="G35" s="50">
        <v>1950</v>
      </c>
      <c r="H35" s="50">
        <f t="shared" si="3"/>
        <v>72070050</v>
      </c>
      <c r="I35" s="44"/>
      <c r="J35" s="92">
        <v>1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34" ht="15.75" x14ac:dyDescent="0.25">
      <c r="A36" s="28">
        <v>26</v>
      </c>
      <c r="B36" s="26"/>
      <c r="C36" s="242" t="s">
        <v>251</v>
      </c>
      <c r="D36" s="44"/>
      <c r="E36" s="93">
        <v>54000</v>
      </c>
      <c r="F36" s="44" t="s">
        <v>82</v>
      </c>
      <c r="G36" s="50">
        <v>800</v>
      </c>
      <c r="H36" s="50">
        <f t="shared" si="3"/>
        <v>43200000</v>
      </c>
      <c r="I36" s="44"/>
      <c r="J36" s="92">
        <v>1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34" ht="15.75" x14ac:dyDescent="0.25">
      <c r="A37" s="28">
        <v>27</v>
      </c>
      <c r="B37" s="26"/>
      <c r="C37" s="239" t="s">
        <v>130</v>
      </c>
      <c r="D37" s="44"/>
      <c r="E37" s="93">
        <f>8965</f>
        <v>8965</v>
      </c>
      <c r="F37" s="44" t="s">
        <v>138</v>
      </c>
      <c r="G37" s="50">
        <v>250</v>
      </c>
      <c r="H37" s="50">
        <f t="shared" si="3"/>
        <v>2241250</v>
      </c>
      <c r="I37" s="44"/>
      <c r="J37" s="92">
        <v>1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34" ht="15.75" x14ac:dyDescent="0.25">
      <c r="A38" s="28">
        <v>28</v>
      </c>
      <c r="B38" s="26"/>
      <c r="C38" s="239" t="s">
        <v>131</v>
      </c>
      <c r="D38" s="44"/>
      <c r="E38" s="93">
        <f>10725</f>
        <v>10725</v>
      </c>
      <c r="F38" s="44" t="s">
        <v>138</v>
      </c>
      <c r="G38" s="50">
        <v>1100</v>
      </c>
      <c r="H38" s="50">
        <f t="shared" si="3"/>
        <v>11797500</v>
      </c>
      <c r="I38" s="44"/>
      <c r="J38" s="92">
        <v>1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34" ht="15.75" x14ac:dyDescent="0.25">
      <c r="A39" s="28">
        <v>29</v>
      </c>
      <c r="B39" s="26"/>
      <c r="C39" s="239" t="s">
        <v>250</v>
      </c>
      <c r="D39" s="44"/>
      <c r="E39" s="93">
        <v>15000</v>
      </c>
      <c r="F39" s="44" t="s">
        <v>138</v>
      </c>
      <c r="G39" s="50">
        <v>1350</v>
      </c>
      <c r="H39" s="50">
        <f t="shared" si="3"/>
        <v>20250000</v>
      </c>
      <c r="I39" s="44"/>
      <c r="J39" s="92">
        <v>1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34" ht="15.75" x14ac:dyDescent="0.25">
      <c r="A40" s="28">
        <v>30</v>
      </c>
      <c r="B40" s="26"/>
      <c r="C40" s="239" t="s">
        <v>248</v>
      </c>
      <c r="D40" s="44"/>
      <c r="E40" s="93">
        <v>20000</v>
      </c>
      <c r="F40" s="44" t="s">
        <v>83</v>
      </c>
      <c r="G40" s="50">
        <v>100</v>
      </c>
      <c r="H40" s="50">
        <f t="shared" ref="H40" si="7">E40*G40</f>
        <v>2000000</v>
      </c>
      <c r="I40" s="44"/>
      <c r="J40" s="92">
        <v>1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34" ht="15.75" x14ac:dyDescent="0.25">
      <c r="A41" s="28">
        <v>31</v>
      </c>
      <c r="B41" s="26"/>
      <c r="C41" s="239" t="s">
        <v>132</v>
      </c>
      <c r="D41" s="44"/>
      <c r="E41" s="93">
        <v>150000</v>
      </c>
      <c r="F41" s="44" t="s">
        <v>83</v>
      </c>
      <c r="G41" s="50">
        <v>100</v>
      </c>
      <c r="H41" s="50">
        <f t="shared" si="3"/>
        <v>15000000</v>
      </c>
      <c r="I41" s="44"/>
      <c r="J41" s="92">
        <v>1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34" ht="15.75" x14ac:dyDescent="0.25">
      <c r="A42" s="28">
        <v>32</v>
      </c>
      <c r="B42" s="26"/>
      <c r="C42" s="239" t="s">
        <v>133</v>
      </c>
      <c r="D42" s="44"/>
      <c r="E42" s="93">
        <v>50000</v>
      </c>
      <c r="F42" s="44" t="s">
        <v>83</v>
      </c>
      <c r="G42" s="50">
        <v>100</v>
      </c>
      <c r="H42" s="50">
        <f t="shared" si="3"/>
        <v>5000000</v>
      </c>
      <c r="I42" s="44"/>
      <c r="J42" s="92">
        <v>1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34" ht="15.75" x14ac:dyDescent="0.25">
      <c r="A43" s="28">
        <v>33</v>
      </c>
      <c r="B43" s="26"/>
      <c r="C43" s="239" t="s">
        <v>134</v>
      </c>
      <c r="D43" s="44"/>
      <c r="E43" s="93">
        <f>1345+7062</f>
        <v>8407</v>
      </c>
      <c r="F43" s="44" t="s">
        <v>83</v>
      </c>
      <c r="G43" s="50">
        <v>1700</v>
      </c>
      <c r="H43" s="50">
        <f t="shared" si="3"/>
        <v>14291900</v>
      </c>
      <c r="I43" s="44"/>
      <c r="J43" s="92">
        <v>1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34" ht="15.75" x14ac:dyDescent="0.25">
      <c r="A44" s="28">
        <v>34</v>
      </c>
      <c r="B44" s="26"/>
      <c r="C44" s="239" t="s">
        <v>135</v>
      </c>
      <c r="D44" s="44"/>
      <c r="E44" s="93">
        <f>41800+7066</f>
        <v>48866</v>
      </c>
      <c r="F44" s="44" t="s">
        <v>138</v>
      </c>
      <c r="G44" s="50">
        <v>250</v>
      </c>
      <c r="H44" s="50">
        <f t="shared" si="3"/>
        <v>12216500</v>
      </c>
      <c r="I44" s="44"/>
      <c r="J44" s="92">
        <v>1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34" ht="15.75" x14ac:dyDescent="0.25">
      <c r="A45" s="28">
        <v>35</v>
      </c>
      <c r="B45" s="26"/>
      <c r="C45" s="239" t="s">
        <v>136</v>
      </c>
      <c r="D45" s="44"/>
      <c r="E45" s="93">
        <f>4400+7062</f>
        <v>11462</v>
      </c>
      <c r="F45" s="44" t="s">
        <v>138</v>
      </c>
      <c r="G45" s="50">
        <v>600</v>
      </c>
      <c r="H45" s="50">
        <f t="shared" si="3"/>
        <v>6877200</v>
      </c>
      <c r="I45" s="44"/>
      <c r="J45" s="92">
        <v>1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34" ht="15.75" x14ac:dyDescent="0.25">
      <c r="A46" s="28">
        <v>36</v>
      </c>
      <c r="B46" s="26"/>
      <c r="C46" s="229" t="s">
        <v>137</v>
      </c>
      <c r="D46" s="44"/>
      <c r="E46" s="93">
        <v>44825</v>
      </c>
      <c r="F46" s="44" t="s">
        <v>83</v>
      </c>
      <c r="G46" s="50">
        <v>400</v>
      </c>
      <c r="H46" s="50">
        <f t="shared" si="3"/>
        <v>17930000</v>
      </c>
      <c r="I46" s="44"/>
      <c r="J46" s="92">
        <v>1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34" ht="45" x14ac:dyDescent="0.25">
      <c r="A47" s="28">
        <v>37</v>
      </c>
      <c r="B47" s="36" t="s">
        <v>115</v>
      </c>
      <c r="C47" s="35" t="s">
        <v>113</v>
      </c>
      <c r="D47" s="6"/>
      <c r="E47" s="36"/>
      <c r="F47" s="36"/>
      <c r="G47" s="37"/>
      <c r="H47" s="150">
        <f>SUM(H48:H51)</f>
        <v>9530000</v>
      </c>
      <c r="I47" s="36" t="s">
        <v>255</v>
      </c>
      <c r="J47" s="36">
        <f>SUM(J48:J51)</f>
        <v>4</v>
      </c>
      <c r="K47" s="36">
        <f t="shared" ref="K47:U47" si="8">SUM(K48:K51)</f>
        <v>0</v>
      </c>
      <c r="L47" s="36">
        <f t="shared" si="8"/>
        <v>0</v>
      </c>
      <c r="M47" s="36">
        <f t="shared" si="8"/>
        <v>0</v>
      </c>
      <c r="N47" s="36">
        <f t="shared" si="8"/>
        <v>0</v>
      </c>
      <c r="O47" s="36">
        <f t="shared" si="8"/>
        <v>0</v>
      </c>
      <c r="P47" s="36">
        <f t="shared" si="8"/>
        <v>0</v>
      </c>
      <c r="Q47" s="36">
        <f t="shared" si="8"/>
        <v>0</v>
      </c>
      <c r="R47" s="36">
        <f t="shared" si="8"/>
        <v>0</v>
      </c>
      <c r="S47" s="36">
        <f t="shared" si="8"/>
        <v>0</v>
      </c>
      <c r="T47" s="36">
        <f t="shared" si="8"/>
        <v>0</v>
      </c>
      <c r="U47" s="36">
        <f t="shared" si="8"/>
        <v>0</v>
      </c>
      <c r="V47" s="25">
        <v>447712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.75" x14ac:dyDescent="0.25">
      <c r="A48" s="28">
        <v>38</v>
      </c>
      <c r="B48" s="26"/>
      <c r="C48" s="229" t="s">
        <v>249</v>
      </c>
      <c r="D48" s="44"/>
      <c r="E48" s="93">
        <v>1200</v>
      </c>
      <c r="F48" s="44" t="s">
        <v>83</v>
      </c>
      <c r="G48" s="50">
        <v>1900</v>
      </c>
      <c r="H48" s="50">
        <f t="shared" ref="H48:H51" si="9">E48*G48</f>
        <v>2280000</v>
      </c>
      <c r="I48" s="44"/>
      <c r="J48" s="92">
        <v>1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2" ht="15.75" x14ac:dyDescent="0.25">
      <c r="A49" s="28">
        <v>39</v>
      </c>
      <c r="B49" s="26"/>
      <c r="C49" s="229" t="s">
        <v>144</v>
      </c>
      <c r="D49" s="44"/>
      <c r="E49" s="93">
        <v>1000</v>
      </c>
      <c r="F49" s="44" t="s">
        <v>138</v>
      </c>
      <c r="G49" s="50">
        <v>3500</v>
      </c>
      <c r="H49" s="50">
        <f t="shared" si="9"/>
        <v>3500000</v>
      </c>
      <c r="I49" s="44"/>
      <c r="J49" s="92">
        <v>1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2" ht="15.75" x14ac:dyDescent="0.25">
      <c r="A50" s="28">
        <v>40</v>
      </c>
      <c r="B50" s="26"/>
      <c r="C50" s="49" t="s">
        <v>178</v>
      </c>
      <c r="D50" s="44"/>
      <c r="E50" s="93">
        <v>250</v>
      </c>
      <c r="F50" s="44" t="s">
        <v>138</v>
      </c>
      <c r="G50" s="50">
        <v>7500</v>
      </c>
      <c r="H50" s="50">
        <f t="shared" si="9"/>
        <v>1875000</v>
      </c>
      <c r="I50" s="44"/>
      <c r="J50" s="92">
        <v>1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2" ht="15.75" x14ac:dyDescent="0.25">
      <c r="A51" s="28">
        <v>41</v>
      </c>
      <c r="B51" s="26"/>
      <c r="C51" s="49" t="s">
        <v>190</v>
      </c>
      <c r="D51" s="44"/>
      <c r="E51" s="93">
        <v>250</v>
      </c>
      <c r="F51" s="44" t="s">
        <v>83</v>
      </c>
      <c r="G51" s="50">
        <v>7500</v>
      </c>
      <c r="H51" s="50">
        <f t="shared" si="9"/>
        <v>1875000</v>
      </c>
      <c r="I51" s="44"/>
      <c r="J51" s="92">
        <v>1</v>
      </c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2" s="102" customFormat="1" ht="30" x14ac:dyDescent="0.25">
      <c r="A52" s="28">
        <v>42</v>
      </c>
      <c r="B52" s="101" t="s">
        <v>115</v>
      </c>
      <c r="C52" s="96" t="s">
        <v>113</v>
      </c>
      <c r="D52" s="97"/>
      <c r="E52" s="98"/>
      <c r="F52" s="99"/>
      <c r="G52" s="100"/>
      <c r="H52" s="103">
        <f>SUM(H54:H143)</f>
        <v>40387185</v>
      </c>
      <c r="I52" s="101" t="s">
        <v>39</v>
      </c>
      <c r="J52" s="243">
        <f t="shared" ref="J52:U52" si="10">SUM(J54:J141)</f>
        <v>29</v>
      </c>
      <c r="K52" s="243">
        <f t="shared" si="10"/>
        <v>16</v>
      </c>
      <c r="L52" s="243">
        <f t="shared" si="10"/>
        <v>22</v>
      </c>
      <c r="M52" s="243">
        <f t="shared" si="10"/>
        <v>7</v>
      </c>
      <c r="N52" s="243">
        <f t="shared" si="10"/>
        <v>3</v>
      </c>
      <c r="O52" s="243">
        <f t="shared" si="10"/>
        <v>9</v>
      </c>
      <c r="P52" s="243">
        <f t="shared" si="10"/>
        <v>15</v>
      </c>
      <c r="Q52" s="243">
        <f t="shared" si="10"/>
        <v>9</v>
      </c>
      <c r="R52" s="243">
        <f t="shared" si="10"/>
        <v>0</v>
      </c>
      <c r="S52" s="243">
        <f t="shared" si="10"/>
        <v>1</v>
      </c>
      <c r="T52" s="243">
        <f t="shared" si="10"/>
        <v>3</v>
      </c>
      <c r="U52" s="243">
        <f t="shared" si="10"/>
        <v>1</v>
      </c>
    </row>
    <row r="53" spans="1:22" x14ac:dyDescent="0.25">
      <c r="A53" s="28">
        <v>43</v>
      </c>
      <c r="B53" s="26"/>
      <c r="C53" s="49" t="s">
        <v>139</v>
      </c>
      <c r="D53" s="44"/>
      <c r="E53" s="44"/>
      <c r="F53" s="44"/>
      <c r="G53" s="50"/>
      <c r="H53" s="50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2" x14ac:dyDescent="0.25">
      <c r="A54" s="28">
        <v>44</v>
      </c>
      <c r="B54" s="26"/>
      <c r="C54" s="148" t="s">
        <v>257</v>
      </c>
      <c r="D54" s="44"/>
      <c r="E54" s="93">
        <v>200</v>
      </c>
      <c r="F54" s="44" t="s">
        <v>82</v>
      </c>
      <c r="G54" s="50">
        <v>3500</v>
      </c>
      <c r="H54" s="50">
        <f>E54*G54</f>
        <v>700000</v>
      </c>
      <c r="I54" s="44"/>
      <c r="J54" s="44"/>
      <c r="K54" s="44">
        <v>1</v>
      </c>
      <c r="L54" s="44"/>
      <c r="M54" s="44"/>
      <c r="N54" s="44"/>
      <c r="O54" s="44">
        <v>1</v>
      </c>
      <c r="P54" s="44"/>
      <c r="Q54" s="44"/>
      <c r="R54" s="44"/>
      <c r="S54" s="44"/>
      <c r="T54" s="44"/>
      <c r="U54" s="44"/>
      <c r="V54" s="194">
        <f>H54/2</f>
        <v>350000</v>
      </c>
    </row>
    <row r="55" spans="1:22" x14ac:dyDescent="0.25">
      <c r="A55" s="28">
        <v>45</v>
      </c>
      <c r="B55" s="26"/>
      <c r="C55" s="148" t="s">
        <v>204</v>
      </c>
      <c r="D55" s="44"/>
      <c r="E55" s="93">
        <v>90</v>
      </c>
      <c r="F55" s="44" t="s">
        <v>82</v>
      </c>
      <c r="G55" s="50">
        <v>3500</v>
      </c>
      <c r="H55" s="50">
        <f t="shared" ref="H55:H124" si="11">E55*G55</f>
        <v>315000</v>
      </c>
      <c r="I55" s="44"/>
      <c r="J55" s="44"/>
      <c r="K55" s="44"/>
      <c r="L55" s="44"/>
      <c r="M55" s="44"/>
      <c r="N55" s="44"/>
      <c r="O55" s="44"/>
      <c r="P55" s="44">
        <v>1</v>
      </c>
      <c r="Q55" s="44"/>
      <c r="R55" s="44"/>
      <c r="S55" s="44"/>
      <c r="T55" s="44"/>
      <c r="U55" s="44"/>
    </row>
    <row r="56" spans="1:22" x14ac:dyDescent="0.25">
      <c r="A56" s="28">
        <v>46</v>
      </c>
      <c r="B56" s="26"/>
      <c r="C56" s="49" t="s">
        <v>224</v>
      </c>
      <c r="D56" s="44"/>
      <c r="E56" s="149">
        <v>40</v>
      </c>
      <c r="F56" s="44" t="s">
        <v>82</v>
      </c>
      <c r="G56" s="50">
        <v>3500</v>
      </c>
      <c r="H56" s="219">
        <f t="shared" si="11"/>
        <v>140000</v>
      </c>
      <c r="I56" s="44"/>
      <c r="J56" s="44"/>
      <c r="K56" s="44"/>
      <c r="L56" s="44"/>
      <c r="M56" s="44"/>
      <c r="N56" s="44">
        <v>1</v>
      </c>
      <c r="O56" s="44"/>
      <c r="P56" s="44"/>
      <c r="Q56" s="44"/>
      <c r="R56" s="44"/>
      <c r="S56" s="44"/>
      <c r="T56" s="44">
        <v>1</v>
      </c>
      <c r="U56" s="44"/>
    </row>
    <row r="57" spans="1:22" x14ac:dyDescent="0.25">
      <c r="A57" s="28">
        <v>47</v>
      </c>
      <c r="B57" s="26"/>
      <c r="C57" s="148" t="s">
        <v>140</v>
      </c>
      <c r="D57" s="44"/>
      <c r="E57" s="149">
        <v>150</v>
      </c>
      <c r="F57" s="44" t="s">
        <v>82</v>
      </c>
      <c r="G57" s="50">
        <v>3500</v>
      </c>
      <c r="H57" s="219">
        <f t="shared" si="11"/>
        <v>525000</v>
      </c>
      <c r="I57" s="44"/>
      <c r="J57" s="44">
        <v>1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2" x14ac:dyDescent="0.25">
      <c r="A58" s="28">
        <v>48</v>
      </c>
      <c r="B58" s="26"/>
      <c r="C58" s="94" t="s">
        <v>146</v>
      </c>
      <c r="D58" s="44"/>
      <c r="E58" s="93">
        <v>100</v>
      </c>
      <c r="F58" s="44" t="s">
        <v>82</v>
      </c>
      <c r="G58" s="50">
        <v>3500</v>
      </c>
      <c r="H58" s="219">
        <f t="shared" ref="H58" si="12">E58*G58</f>
        <v>350000</v>
      </c>
      <c r="I58" s="44"/>
      <c r="J58" s="44">
        <v>1</v>
      </c>
      <c r="K58" s="44"/>
      <c r="L58" s="44"/>
      <c r="M58" s="44"/>
      <c r="N58" s="44"/>
      <c r="O58" s="44"/>
      <c r="P58" s="44">
        <v>1</v>
      </c>
      <c r="Q58" s="44"/>
      <c r="R58" s="44"/>
      <c r="S58" s="44"/>
      <c r="T58" s="44"/>
      <c r="U58" s="44"/>
    </row>
    <row r="59" spans="1:22" x14ac:dyDescent="0.25">
      <c r="A59" s="28">
        <v>49</v>
      </c>
      <c r="B59" s="26"/>
      <c r="C59" s="148" t="s">
        <v>142</v>
      </c>
      <c r="D59" s="44"/>
      <c r="E59" s="93">
        <f t="shared" ref="E59:E60" si="13">330+110</f>
        <v>440</v>
      </c>
      <c r="F59" s="44" t="s">
        <v>138</v>
      </c>
      <c r="G59" s="50">
        <v>400</v>
      </c>
      <c r="H59" s="219">
        <f t="shared" si="11"/>
        <v>176000</v>
      </c>
      <c r="I59" s="44"/>
      <c r="J59" s="44">
        <v>1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2" x14ac:dyDescent="0.25">
      <c r="A60" s="28">
        <v>50</v>
      </c>
      <c r="B60" s="26"/>
      <c r="C60" s="148" t="s">
        <v>143</v>
      </c>
      <c r="D60" s="44"/>
      <c r="E60" s="93">
        <f t="shared" si="13"/>
        <v>440</v>
      </c>
      <c r="F60" s="44" t="s">
        <v>138</v>
      </c>
      <c r="G60" s="50">
        <v>250</v>
      </c>
      <c r="H60" s="219">
        <f t="shared" si="11"/>
        <v>110000</v>
      </c>
      <c r="I60" s="44"/>
      <c r="J60" s="44">
        <v>1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2" x14ac:dyDescent="0.25">
      <c r="A61" s="28">
        <v>51</v>
      </c>
      <c r="B61" s="26"/>
      <c r="C61" s="148" t="s">
        <v>144</v>
      </c>
      <c r="D61" s="44"/>
      <c r="E61" s="93"/>
      <c r="F61" s="44"/>
      <c r="G61" s="50"/>
      <c r="H61" s="219">
        <f t="shared" si="11"/>
        <v>0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2" x14ac:dyDescent="0.25">
      <c r="A62" s="28">
        <v>52</v>
      </c>
      <c r="B62" s="26"/>
      <c r="C62" s="148" t="s">
        <v>257</v>
      </c>
      <c r="D62" s="44"/>
      <c r="E62" s="93">
        <v>100</v>
      </c>
      <c r="F62" s="44" t="s">
        <v>82</v>
      </c>
      <c r="G62" s="50">
        <v>3500</v>
      </c>
      <c r="H62" s="219">
        <f t="shared" si="11"/>
        <v>350000</v>
      </c>
      <c r="I62" s="44"/>
      <c r="J62" s="44"/>
      <c r="K62" s="44">
        <v>1</v>
      </c>
      <c r="L62" s="44"/>
      <c r="M62" s="44"/>
      <c r="N62" s="44"/>
      <c r="O62" s="44">
        <v>1</v>
      </c>
      <c r="P62" s="44"/>
      <c r="Q62" s="44"/>
      <c r="R62" s="44"/>
      <c r="S62" s="44"/>
      <c r="T62" s="44"/>
      <c r="U62" s="44"/>
    </row>
    <row r="63" spans="1:22" x14ac:dyDescent="0.25">
      <c r="A63" s="28">
        <v>53</v>
      </c>
      <c r="B63" s="26"/>
      <c r="C63" s="148" t="s">
        <v>204</v>
      </c>
      <c r="D63" s="44"/>
      <c r="E63" s="93">
        <v>45</v>
      </c>
      <c r="F63" s="44" t="s">
        <v>82</v>
      </c>
      <c r="G63" s="50">
        <v>3500</v>
      </c>
      <c r="H63" s="219">
        <f t="shared" si="11"/>
        <v>157500</v>
      </c>
      <c r="I63" s="44"/>
      <c r="J63" s="44"/>
      <c r="K63" s="44"/>
      <c r="L63" s="44"/>
      <c r="M63" s="44"/>
      <c r="N63" s="44"/>
      <c r="O63" s="44"/>
      <c r="P63" s="44">
        <v>1</v>
      </c>
      <c r="Q63" s="44"/>
      <c r="R63" s="44"/>
      <c r="S63" s="44"/>
      <c r="T63" s="44"/>
      <c r="U63" s="44"/>
    </row>
    <row r="64" spans="1:22" x14ac:dyDescent="0.25">
      <c r="A64" s="28">
        <v>54</v>
      </c>
      <c r="B64" s="26"/>
      <c r="C64" s="49" t="s">
        <v>224</v>
      </c>
      <c r="D64" s="44"/>
      <c r="E64" s="93">
        <v>100</v>
      </c>
      <c r="F64" s="44" t="s">
        <v>82</v>
      </c>
      <c r="G64" s="50">
        <v>3500</v>
      </c>
      <c r="H64" s="219">
        <f t="shared" si="11"/>
        <v>350000</v>
      </c>
      <c r="I64" s="44"/>
      <c r="J64" s="44"/>
      <c r="K64" s="44"/>
      <c r="L64" s="44"/>
      <c r="M64" s="44"/>
      <c r="N64" s="44">
        <v>1</v>
      </c>
      <c r="O64" s="44"/>
      <c r="P64" s="44"/>
      <c r="Q64" s="44"/>
      <c r="R64" s="44"/>
      <c r="S64" s="44"/>
      <c r="T64" s="44">
        <v>1</v>
      </c>
      <c r="U64" s="44"/>
    </row>
    <row r="65" spans="1:21" x14ac:dyDescent="0.25">
      <c r="A65" s="28">
        <v>55</v>
      </c>
      <c r="B65" s="26"/>
      <c r="C65" s="49" t="s">
        <v>205</v>
      </c>
      <c r="D65" s="44"/>
      <c r="E65" s="93">
        <v>100</v>
      </c>
      <c r="F65" s="44" t="s">
        <v>82</v>
      </c>
      <c r="G65" s="50">
        <v>3500</v>
      </c>
      <c r="H65" s="219">
        <f t="shared" si="11"/>
        <v>350000</v>
      </c>
      <c r="I65" s="44"/>
      <c r="J65" s="44"/>
      <c r="K65" s="44">
        <v>1</v>
      </c>
      <c r="L65" s="44"/>
      <c r="M65" s="44"/>
      <c r="N65" s="44"/>
      <c r="O65" s="44"/>
      <c r="P65" s="44"/>
      <c r="Q65" s="44">
        <v>1</v>
      </c>
      <c r="R65" s="44"/>
      <c r="S65" s="44"/>
      <c r="T65" s="44"/>
      <c r="U65" s="44"/>
    </row>
    <row r="66" spans="1:21" x14ac:dyDescent="0.25">
      <c r="A66" s="28">
        <v>56</v>
      </c>
      <c r="B66" s="26"/>
      <c r="C66" s="49" t="s">
        <v>140</v>
      </c>
      <c r="D66" s="44"/>
      <c r="E66" s="93">
        <v>150</v>
      </c>
      <c r="F66" s="44" t="s">
        <v>82</v>
      </c>
      <c r="G66" s="50">
        <v>3500</v>
      </c>
      <c r="H66" s="219">
        <f t="shared" si="11"/>
        <v>525000</v>
      </c>
      <c r="I66" s="44"/>
      <c r="J66" s="44">
        <v>1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x14ac:dyDescent="0.25">
      <c r="A67" s="28">
        <v>57</v>
      </c>
      <c r="B67" s="26"/>
      <c r="C67" s="49" t="s">
        <v>145</v>
      </c>
      <c r="D67" s="44"/>
      <c r="E67" s="93">
        <v>100</v>
      </c>
      <c r="F67" s="44" t="s">
        <v>82</v>
      </c>
      <c r="G67" s="50">
        <v>3500</v>
      </c>
      <c r="H67" s="219">
        <f t="shared" si="11"/>
        <v>350000</v>
      </c>
      <c r="I67" s="44"/>
      <c r="J67" s="44">
        <v>1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x14ac:dyDescent="0.25">
      <c r="A68" s="28">
        <v>58</v>
      </c>
      <c r="B68" s="26"/>
      <c r="C68" s="94" t="s">
        <v>146</v>
      </c>
      <c r="D68" s="44"/>
      <c r="E68" s="93">
        <v>400</v>
      </c>
      <c r="F68" s="44" t="s">
        <v>82</v>
      </c>
      <c r="G68" s="50">
        <v>3500</v>
      </c>
      <c r="H68" s="219">
        <f t="shared" si="11"/>
        <v>1400000</v>
      </c>
      <c r="I68" s="44"/>
      <c r="J68" s="44">
        <v>1</v>
      </c>
      <c r="K68" s="44"/>
      <c r="L68" s="44"/>
      <c r="M68" s="44"/>
      <c r="N68" s="44"/>
      <c r="O68" s="44"/>
      <c r="P68" s="44">
        <v>1</v>
      </c>
      <c r="Q68" s="44"/>
      <c r="R68" s="44"/>
      <c r="S68" s="44"/>
      <c r="T68" s="44"/>
      <c r="U68" s="44"/>
    </row>
    <row r="69" spans="1:21" x14ac:dyDescent="0.25">
      <c r="A69" s="28">
        <v>59</v>
      </c>
      <c r="B69" s="26"/>
      <c r="C69" s="49" t="s">
        <v>147</v>
      </c>
      <c r="D69" s="44"/>
      <c r="E69" s="93">
        <v>10</v>
      </c>
      <c r="F69" s="44" t="s">
        <v>82</v>
      </c>
      <c r="G69" s="50">
        <v>3500</v>
      </c>
      <c r="H69" s="219">
        <f t="shared" si="11"/>
        <v>35000</v>
      </c>
      <c r="I69" s="44"/>
      <c r="J69" s="44">
        <v>1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x14ac:dyDescent="0.25">
      <c r="A70" s="28">
        <v>60</v>
      </c>
      <c r="B70" s="26"/>
      <c r="C70" s="49" t="s">
        <v>148</v>
      </c>
      <c r="D70" s="44"/>
      <c r="E70" s="93">
        <v>100</v>
      </c>
      <c r="F70" s="44" t="s">
        <v>82</v>
      </c>
      <c r="G70" s="50">
        <v>3500</v>
      </c>
      <c r="H70" s="219">
        <f t="shared" si="11"/>
        <v>350000</v>
      </c>
      <c r="I70" s="44"/>
      <c r="J70" s="44">
        <v>1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x14ac:dyDescent="0.25">
      <c r="A71" s="28">
        <v>61</v>
      </c>
      <c r="B71" s="26"/>
      <c r="C71" s="49" t="s">
        <v>149</v>
      </c>
      <c r="D71" s="44"/>
      <c r="E71" s="93">
        <v>440</v>
      </c>
      <c r="F71" s="44" t="s">
        <v>138</v>
      </c>
      <c r="G71" s="50">
        <v>400</v>
      </c>
      <c r="H71" s="219">
        <f t="shared" si="11"/>
        <v>176000</v>
      </c>
      <c r="I71" s="44"/>
      <c r="J71" s="44">
        <v>1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x14ac:dyDescent="0.25">
      <c r="A72" s="28">
        <v>62</v>
      </c>
      <c r="B72" s="26"/>
      <c r="C72" s="49" t="s">
        <v>150</v>
      </c>
      <c r="D72" s="44"/>
      <c r="E72" s="93">
        <v>440</v>
      </c>
      <c r="F72" s="44" t="s">
        <v>138</v>
      </c>
      <c r="G72" s="50">
        <v>200</v>
      </c>
      <c r="H72" s="219">
        <f t="shared" si="11"/>
        <v>88000</v>
      </c>
      <c r="I72" s="44"/>
      <c r="J72" s="44">
        <v>1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x14ac:dyDescent="0.25">
      <c r="A73" s="28">
        <v>63</v>
      </c>
      <c r="B73" s="26"/>
      <c r="C73" s="49" t="s">
        <v>151</v>
      </c>
      <c r="D73" s="44"/>
      <c r="E73" s="93"/>
      <c r="F73" s="44"/>
      <c r="G73" s="50"/>
      <c r="H73" s="219">
        <f t="shared" si="11"/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x14ac:dyDescent="0.25">
      <c r="A74" s="28">
        <v>64</v>
      </c>
      <c r="B74" s="26"/>
      <c r="C74" s="148" t="s">
        <v>257</v>
      </c>
      <c r="D74" s="44"/>
      <c r="E74" s="93">
        <v>100</v>
      </c>
      <c r="F74" s="44" t="s">
        <v>82</v>
      </c>
      <c r="G74" s="50">
        <v>9500</v>
      </c>
      <c r="H74" s="219">
        <f t="shared" si="11"/>
        <v>950000</v>
      </c>
      <c r="I74" s="44"/>
      <c r="J74" s="44"/>
      <c r="K74" s="44">
        <v>1</v>
      </c>
      <c r="L74" s="44"/>
      <c r="M74" s="44"/>
      <c r="N74" s="44"/>
      <c r="O74" s="44">
        <v>1</v>
      </c>
      <c r="P74" s="44"/>
      <c r="Q74" s="44"/>
      <c r="R74" s="44"/>
      <c r="S74" s="44"/>
      <c r="T74" s="44"/>
      <c r="U74" s="44"/>
    </row>
    <row r="75" spans="1:21" x14ac:dyDescent="0.25">
      <c r="A75" s="28">
        <v>65</v>
      </c>
      <c r="B75" s="26"/>
      <c r="C75" s="148" t="s">
        <v>204</v>
      </c>
      <c r="D75" s="44"/>
      <c r="E75" s="93">
        <v>45</v>
      </c>
      <c r="F75" s="44" t="s">
        <v>82</v>
      </c>
      <c r="G75" s="50">
        <v>9500</v>
      </c>
      <c r="H75" s="50">
        <f t="shared" si="11"/>
        <v>427500</v>
      </c>
      <c r="I75" s="44"/>
      <c r="J75" s="44"/>
      <c r="K75" s="44"/>
      <c r="L75" s="44"/>
      <c r="M75" s="44"/>
      <c r="N75" s="44"/>
      <c r="O75" s="44"/>
      <c r="P75" s="44">
        <v>1</v>
      </c>
      <c r="Q75" s="44"/>
      <c r="R75" s="44"/>
      <c r="S75" s="44"/>
      <c r="T75" s="44"/>
      <c r="U75" s="44"/>
    </row>
    <row r="76" spans="1:21" x14ac:dyDescent="0.25">
      <c r="A76" s="28">
        <v>66</v>
      </c>
      <c r="B76" s="26"/>
      <c r="C76" s="49" t="s">
        <v>140</v>
      </c>
      <c r="D76" s="44"/>
      <c r="E76" s="93">
        <v>150</v>
      </c>
      <c r="F76" s="44" t="s">
        <v>82</v>
      </c>
      <c r="G76" s="50">
        <v>9500</v>
      </c>
      <c r="H76" s="50">
        <f t="shared" si="11"/>
        <v>1425000</v>
      </c>
      <c r="I76" s="44"/>
      <c r="J76" s="44">
        <v>1</v>
      </c>
      <c r="K76" s="44"/>
      <c r="L76" s="44"/>
      <c r="M76" s="44"/>
      <c r="N76" s="44"/>
      <c r="O76" s="44"/>
      <c r="P76" s="44">
        <v>1</v>
      </c>
      <c r="Q76" s="44"/>
      <c r="R76" s="44"/>
      <c r="S76" s="44"/>
      <c r="T76" s="44"/>
      <c r="U76" s="44"/>
    </row>
    <row r="77" spans="1:21" x14ac:dyDescent="0.25">
      <c r="A77" s="28">
        <v>67</v>
      </c>
      <c r="B77" s="26"/>
      <c r="C77" s="49" t="s">
        <v>145</v>
      </c>
      <c r="D77" s="44"/>
      <c r="E77" s="93">
        <v>100</v>
      </c>
      <c r="F77" s="44" t="s">
        <v>82</v>
      </c>
      <c r="G77" s="50">
        <v>9500</v>
      </c>
      <c r="H77" s="50">
        <f t="shared" si="11"/>
        <v>950000</v>
      </c>
      <c r="I77" s="44"/>
      <c r="J77" s="44">
        <v>1</v>
      </c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x14ac:dyDescent="0.25">
      <c r="A78" s="28">
        <v>68</v>
      </c>
      <c r="B78" s="26"/>
      <c r="C78" s="147" t="s">
        <v>153</v>
      </c>
      <c r="D78" s="44"/>
      <c r="E78" s="93">
        <f>3960+440</f>
        <v>4400</v>
      </c>
      <c r="F78" s="44" t="s">
        <v>138</v>
      </c>
      <c r="G78" s="50">
        <v>100</v>
      </c>
      <c r="H78" s="50">
        <f t="shared" si="11"/>
        <v>440000</v>
      </c>
      <c r="I78" s="44"/>
      <c r="J78" s="44"/>
      <c r="K78" s="44">
        <v>1</v>
      </c>
      <c r="L78" s="44"/>
      <c r="M78" s="44"/>
      <c r="N78" s="44"/>
      <c r="O78" s="44"/>
      <c r="P78" s="44"/>
      <c r="Q78" s="44">
        <v>1</v>
      </c>
      <c r="R78" s="44"/>
      <c r="S78" s="44"/>
      <c r="T78" s="44"/>
      <c r="U78" s="44"/>
    </row>
    <row r="79" spans="1:21" x14ac:dyDescent="0.25">
      <c r="A79" s="28">
        <v>69</v>
      </c>
      <c r="B79" s="26"/>
      <c r="C79" s="147" t="s">
        <v>154</v>
      </c>
      <c r="D79" s="44"/>
      <c r="E79" s="93">
        <v>440</v>
      </c>
      <c r="F79" s="44" t="s">
        <v>138</v>
      </c>
      <c r="G79" s="50">
        <v>450</v>
      </c>
      <c r="H79" s="50">
        <f t="shared" si="11"/>
        <v>198000</v>
      </c>
      <c r="I79" s="44"/>
      <c r="J79" s="44"/>
      <c r="K79" s="44">
        <v>1</v>
      </c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x14ac:dyDescent="0.25">
      <c r="A80" s="28">
        <v>70</v>
      </c>
      <c r="B80" s="26"/>
      <c r="C80" s="147" t="s">
        <v>155</v>
      </c>
      <c r="D80" s="44"/>
      <c r="E80" s="93">
        <v>440</v>
      </c>
      <c r="F80" s="44" t="s">
        <v>138</v>
      </c>
      <c r="G80" s="50">
        <v>200</v>
      </c>
      <c r="H80" s="50">
        <f t="shared" si="11"/>
        <v>88000</v>
      </c>
      <c r="I80" s="44"/>
      <c r="J80" s="44"/>
      <c r="K80" s="44">
        <v>1</v>
      </c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7" x14ac:dyDescent="0.25">
      <c r="A81" s="28">
        <v>71</v>
      </c>
      <c r="B81" s="26"/>
      <c r="C81" s="147" t="s">
        <v>156</v>
      </c>
      <c r="D81" s="44"/>
      <c r="E81" s="93">
        <v>550</v>
      </c>
      <c r="F81" s="44" t="s">
        <v>138</v>
      </c>
      <c r="G81" s="50">
        <v>5500</v>
      </c>
      <c r="H81" s="50">
        <f t="shared" si="11"/>
        <v>3025000</v>
      </c>
      <c r="I81" s="44"/>
      <c r="J81" s="44"/>
      <c r="K81" s="44">
        <v>1</v>
      </c>
      <c r="L81" s="44"/>
      <c r="M81" s="44">
        <v>1</v>
      </c>
      <c r="N81" s="44"/>
      <c r="O81" s="44">
        <v>1</v>
      </c>
      <c r="P81" s="44"/>
      <c r="Q81" s="44">
        <v>1</v>
      </c>
      <c r="R81" s="44"/>
      <c r="S81" s="44">
        <v>1</v>
      </c>
      <c r="T81" s="44"/>
      <c r="U81" s="44">
        <v>1</v>
      </c>
    </row>
    <row r="82" spans="1:27" x14ac:dyDescent="0.25">
      <c r="A82" s="28">
        <v>72</v>
      </c>
      <c r="B82" s="26"/>
      <c r="C82" s="147" t="s">
        <v>157</v>
      </c>
      <c r="D82" s="44"/>
      <c r="E82" s="93">
        <v>100</v>
      </c>
      <c r="F82" s="44" t="s">
        <v>138</v>
      </c>
      <c r="G82" s="50">
        <v>3500</v>
      </c>
      <c r="H82" s="50">
        <f t="shared" si="11"/>
        <v>350000</v>
      </c>
      <c r="I82" s="44"/>
      <c r="J82" s="44"/>
      <c r="K82" s="44">
        <v>1</v>
      </c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7" x14ac:dyDescent="0.25">
      <c r="A83" s="28">
        <v>73</v>
      </c>
      <c r="B83" s="26"/>
      <c r="C83" s="147" t="s">
        <v>158</v>
      </c>
      <c r="D83" s="44"/>
      <c r="E83" s="93">
        <v>440</v>
      </c>
      <c r="F83" s="44" t="s">
        <v>138</v>
      </c>
      <c r="G83" s="50">
        <v>200</v>
      </c>
      <c r="H83" s="50">
        <f t="shared" si="11"/>
        <v>88000</v>
      </c>
      <c r="I83" s="44"/>
      <c r="J83" s="44"/>
      <c r="K83" s="44">
        <v>1</v>
      </c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7" x14ac:dyDescent="0.25">
      <c r="A84" s="28">
        <v>74</v>
      </c>
      <c r="B84" s="26"/>
      <c r="C84" s="49" t="s">
        <v>159</v>
      </c>
      <c r="D84" s="44"/>
      <c r="E84" s="93"/>
      <c r="F84" s="44"/>
      <c r="G84" s="50"/>
      <c r="H84" s="50">
        <f t="shared" si="11"/>
        <v>0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7" x14ac:dyDescent="0.25">
      <c r="A85" s="28">
        <v>75</v>
      </c>
      <c r="B85" s="26"/>
      <c r="C85" s="49" t="s">
        <v>160</v>
      </c>
      <c r="D85" s="44"/>
      <c r="E85" s="93">
        <v>440</v>
      </c>
      <c r="F85" s="44" t="s">
        <v>82</v>
      </c>
      <c r="G85" s="50">
        <v>1900</v>
      </c>
      <c r="H85" s="50">
        <f t="shared" si="11"/>
        <v>836000</v>
      </c>
      <c r="I85" s="44"/>
      <c r="J85" s="44">
        <v>1</v>
      </c>
      <c r="K85" s="44"/>
      <c r="L85" s="44"/>
      <c r="M85" s="44"/>
      <c r="N85" s="44"/>
      <c r="O85" s="44"/>
      <c r="P85" s="44">
        <v>1</v>
      </c>
      <c r="Q85" s="44"/>
      <c r="R85" s="44"/>
      <c r="S85" s="44"/>
      <c r="T85" s="44"/>
      <c r="U85" s="44"/>
    </row>
    <row r="86" spans="1:27" x14ac:dyDescent="0.25">
      <c r="A86" s="28">
        <v>76</v>
      </c>
      <c r="B86" s="26"/>
      <c r="C86" s="49" t="s">
        <v>161</v>
      </c>
      <c r="D86" s="44"/>
      <c r="E86" s="93">
        <f>440+165</f>
        <v>605</v>
      </c>
      <c r="F86" s="44" t="s">
        <v>82</v>
      </c>
      <c r="G86" s="50">
        <v>1900</v>
      </c>
      <c r="H86" s="50">
        <f t="shared" si="11"/>
        <v>1149500</v>
      </c>
      <c r="I86" s="44"/>
      <c r="J86" s="44"/>
      <c r="K86" s="44"/>
      <c r="L86" s="44">
        <v>1</v>
      </c>
      <c r="M86" s="44"/>
      <c r="N86" s="44"/>
      <c r="O86" s="44"/>
      <c r="P86" s="44"/>
      <c r="Q86" s="44">
        <v>1</v>
      </c>
      <c r="R86" s="44"/>
      <c r="S86" s="44"/>
      <c r="T86" s="44"/>
      <c r="U86" s="44"/>
    </row>
    <row r="87" spans="1:27" x14ac:dyDescent="0.25">
      <c r="A87" s="28">
        <v>77</v>
      </c>
      <c r="B87" s="26"/>
      <c r="C87" s="148" t="s">
        <v>257</v>
      </c>
      <c r="D87" s="44"/>
      <c r="E87" s="93">
        <v>100</v>
      </c>
      <c r="F87" s="44" t="s">
        <v>82</v>
      </c>
      <c r="G87" s="50">
        <v>1900</v>
      </c>
      <c r="H87" s="50">
        <f t="shared" si="11"/>
        <v>190000</v>
      </c>
      <c r="I87" s="44"/>
      <c r="J87" s="44"/>
      <c r="K87" s="44">
        <v>1</v>
      </c>
      <c r="L87" s="44"/>
      <c r="M87" s="44"/>
      <c r="N87" s="44"/>
      <c r="O87" s="44">
        <v>1</v>
      </c>
      <c r="P87" s="44"/>
      <c r="Q87" s="44"/>
      <c r="R87" s="44"/>
      <c r="S87" s="44"/>
      <c r="T87" s="44"/>
      <c r="U87" s="44"/>
    </row>
    <row r="88" spans="1:27" x14ac:dyDescent="0.25">
      <c r="A88" s="28">
        <v>78</v>
      </c>
      <c r="B88" s="26"/>
      <c r="C88" s="148" t="s">
        <v>204</v>
      </c>
      <c r="D88" s="44"/>
      <c r="E88" s="93">
        <v>45</v>
      </c>
      <c r="F88" s="44" t="s">
        <v>82</v>
      </c>
      <c r="G88" s="50">
        <v>1900</v>
      </c>
      <c r="H88" s="50">
        <f t="shared" si="11"/>
        <v>85500</v>
      </c>
      <c r="I88" s="44"/>
      <c r="J88" s="44"/>
      <c r="K88" s="44"/>
      <c r="L88" s="44"/>
      <c r="M88" s="44"/>
      <c r="N88" s="44"/>
      <c r="O88" s="44"/>
      <c r="P88" s="44">
        <v>1</v>
      </c>
      <c r="Q88" s="44"/>
      <c r="R88" s="44"/>
      <c r="S88" s="44"/>
      <c r="T88" s="44"/>
      <c r="U88" s="44"/>
    </row>
    <row r="89" spans="1:27" x14ac:dyDescent="0.25">
      <c r="A89" s="28">
        <v>79</v>
      </c>
      <c r="B89" s="26"/>
      <c r="C89" s="49" t="s">
        <v>224</v>
      </c>
      <c r="D89" s="44"/>
      <c r="E89" s="93">
        <v>100</v>
      </c>
      <c r="F89" s="44" t="s">
        <v>82</v>
      </c>
      <c r="G89" s="50">
        <v>1900</v>
      </c>
      <c r="H89" s="50">
        <f t="shared" si="11"/>
        <v>190000</v>
      </c>
      <c r="I89" s="44"/>
      <c r="J89" s="44"/>
      <c r="K89" s="44"/>
      <c r="L89" s="44"/>
      <c r="M89" s="44"/>
      <c r="N89" s="44">
        <v>1</v>
      </c>
      <c r="O89" s="44"/>
      <c r="P89" s="44"/>
      <c r="Q89" s="44"/>
      <c r="R89" s="44"/>
      <c r="S89" s="44"/>
      <c r="T89" s="44">
        <v>1</v>
      </c>
      <c r="U89" s="44"/>
    </row>
    <row r="90" spans="1:27" x14ac:dyDescent="0.25">
      <c r="A90" s="28">
        <v>80</v>
      </c>
      <c r="B90" s="26"/>
      <c r="C90" s="49" t="s">
        <v>140</v>
      </c>
      <c r="D90" s="44"/>
      <c r="E90" s="93">
        <v>150</v>
      </c>
      <c r="F90" s="44" t="s">
        <v>82</v>
      </c>
      <c r="G90" s="50">
        <v>1900</v>
      </c>
      <c r="H90" s="50">
        <f t="shared" si="11"/>
        <v>285000</v>
      </c>
      <c r="I90" s="44"/>
      <c r="J90" s="44">
        <v>1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7" x14ac:dyDescent="0.25">
      <c r="A91" s="28">
        <v>81</v>
      </c>
      <c r="B91" s="26"/>
      <c r="C91" s="94" t="s">
        <v>146</v>
      </c>
      <c r="D91" s="44"/>
      <c r="E91" s="93">
        <v>400</v>
      </c>
      <c r="F91" s="44" t="s">
        <v>82</v>
      </c>
      <c r="G91" s="50">
        <v>1900</v>
      </c>
      <c r="H91" s="50">
        <f t="shared" si="11"/>
        <v>760000</v>
      </c>
      <c r="I91" s="44"/>
      <c r="J91" s="44">
        <v>1</v>
      </c>
      <c r="K91" s="44"/>
      <c r="L91" s="44"/>
      <c r="M91" s="44">
        <v>1</v>
      </c>
      <c r="N91" s="44"/>
      <c r="O91" s="44"/>
      <c r="P91" s="44"/>
      <c r="Q91" s="44"/>
      <c r="R91" s="44"/>
      <c r="S91" s="44"/>
      <c r="T91" s="44"/>
      <c r="U91" s="44"/>
    </row>
    <row r="92" spans="1:27" x14ac:dyDescent="0.25">
      <c r="A92" s="28">
        <v>82</v>
      </c>
      <c r="B92" s="26"/>
      <c r="C92" s="49" t="s">
        <v>147</v>
      </c>
      <c r="D92" s="44"/>
      <c r="E92" s="93">
        <v>15</v>
      </c>
      <c r="F92" s="44" t="s">
        <v>82</v>
      </c>
      <c r="G92" s="50">
        <v>1900</v>
      </c>
      <c r="H92" s="50">
        <f t="shared" si="11"/>
        <v>28500</v>
      </c>
      <c r="I92" s="44"/>
      <c r="J92" s="44">
        <v>1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:27" x14ac:dyDescent="0.25">
      <c r="A93" s="28">
        <v>83</v>
      </c>
      <c r="B93" s="26"/>
      <c r="C93" s="49" t="s">
        <v>148</v>
      </c>
      <c r="D93" s="44"/>
      <c r="E93" s="93">
        <v>100</v>
      </c>
      <c r="F93" s="44" t="s">
        <v>82</v>
      </c>
      <c r="G93" s="50">
        <v>1900</v>
      </c>
      <c r="H93" s="50">
        <f t="shared" si="11"/>
        <v>190000</v>
      </c>
      <c r="I93" s="44"/>
      <c r="J93" s="44">
        <v>1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:27" x14ac:dyDescent="0.25">
      <c r="A94" s="28">
        <v>84</v>
      </c>
      <c r="B94" s="26"/>
      <c r="C94" s="49" t="s">
        <v>162</v>
      </c>
      <c r="D94" s="44"/>
      <c r="E94" s="93"/>
      <c r="F94" s="44" t="s">
        <v>138</v>
      </c>
      <c r="G94" s="50"/>
      <c r="H94" s="50">
        <f t="shared" si="11"/>
        <v>0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:27" x14ac:dyDescent="0.25">
      <c r="A95" s="28">
        <v>85</v>
      </c>
      <c r="B95" s="26"/>
      <c r="C95" s="148" t="s">
        <v>257</v>
      </c>
      <c r="D95" s="44"/>
      <c r="E95" s="93">
        <v>100</v>
      </c>
      <c r="F95" s="44" t="s">
        <v>82</v>
      </c>
      <c r="G95" s="50">
        <v>2500</v>
      </c>
      <c r="H95" s="50">
        <f t="shared" ref="H95:H96" si="14">E95*G95</f>
        <v>250000</v>
      </c>
      <c r="I95" s="44"/>
      <c r="J95" s="44"/>
      <c r="K95" s="44">
        <v>1</v>
      </c>
      <c r="L95" s="44"/>
      <c r="M95" s="44"/>
      <c r="N95" s="44"/>
      <c r="O95" s="44">
        <v>1</v>
      </c>
      <c r="P95" s="44"/>
      <c r="Q95" s="44"/>
      <c r="R95" s="44"/>
      <c r="S95" s="44"/>
      <c r="T95" s="44"/>
      <c r="U95" s="44"/>
    </row>
    <row r="96" spans="1:27" x14ac:dyDescent="0.25">
      <c r="A96" s="28">
        <v>86</v>
      </c>
      <c r="B96" s="26"/>
      <c r="C96" s="148" t="s">
        <v>204</v>
      </c>
      <c r="D96" s="44"/>
      <c r="E96" s="93">
        <v>45</v>
      </c>
      <c r="F96" s="44" t="s">
        <v>82</v>
      </c>
      <c r="G96" s="50">
        <v>2500</v>
      </c>
      <c r="H96" s="50">
        <f t="shared" si="14"/>
        <v>112500</v>
      </c>
      <c r="I96" s="44"/>
      <c r="J96" s="44"/>
      <c r="K96" s="44"/>
      <c r="L96" s="44"/>
      <c r="M96" s="44"/>
      <c r="N96" s="44"/>
      <c r="O96" s="44"/>
      <c r="P96" s="44">
        <v>1</v>
      </c>
      <c r="Q96" s="44"/>
      <c r="R96" s="44"/>
      <c r="S96" s="44"/>
      <c r="T96" s="44"/>
      <c r="U96" s="44"/>
      <c r="AA96" s="25">
        <v>76965</v>
      </c>
    </row>
    <row r="97" spans="1:21" x14ac:dyDescent="0.25">
      <c r="A97" s="28">
        <v>87</v>
      </c>
      <c r="B97" s="26"/>
      <c r="C97" s="49" t="s">
        <v>140</v>
      </c>
      <c r="D97" s="44"/>
      <c r="E97" s="93">
        <v>150</v>
      </c>
      <c r="F97" s="44" t="s">
        <v>82</v>
      </c>
      <c r="G97" s="50">
        <v>2500</v>
      </c>
      <c r="H97" s="50">
        <f>E97*G97</f>
        <v>375000</v>
      </c>
      <c r="I97" s="44"/>
      <c r="J97" s="44">
        <v>1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25">
      <c r="A98" s="28">
        <v>88</v>
      </c>
      <c r="B98" s="26"/>
      <c r="C98" s="49" t="s">
        <v>163</v>
      </c>
      <c r="D98" s="44"/>
      <c r="E98" s="93">
        <v>2199</v>
      </c>
      <c r="F98" s="44" t="s">
        <v>138</v>
      </c>
      <c r="G98" s="50">
        <v>35</v>
      </c>
      <c r="H98" s="50">
        <v>76985</v>
      </c>
      <c r="I98" s="44"/>
      <c r="J98" s="44">
        <v>1</v>
      </c>
      <c r="K98" s="44"/>
      <c r="L98" s="44"/>
      <c r="M98" s="44">
        <v>1</v>
      </c>
      <c r="N98" s="44"/>
      <c r="O98" s="44"/>
      <c r="P98" s="44"/>
      <c r="Q98" s="44"/>
      <c r="R98" s="44"/>
      <c r="S98" s="44"/>
      <c r="T98" s="44"/>
      <c r="U98" s="44"/>
    </row>
    <row r="99" spans="1:21" x14ac:dyDescent="0.25">
      <c r="A99" s="28">
        <v>89</v>
      </c>
      <c r="B99" s="26"/>
      <c r="C99" s="49" t="s">
        <v>164</v>
      </c>
      <c r="D99" s="44"/>
      <c r="E99" s="93"/>
      <c r="F99" s="44"/>
      <c r="G99" s="50"/>
      <c r="H99" s="50">
        <f t="shared" si="11"/>
        <v>0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:21" x14ac:dyDescent="0.25">
      <c r="A100" s="28">
        <v>90</v>
      </c>
      <c r="B100" s="26"/>
      <c r="C100" s="49" t="s">
        <v>203</v>
      </c>
      <c r="D100" s="44"/>
      <c r="E100" s="93">
        <v>150</v>
      </c>
      <c r="F100" s="44" t="s">
        <v>82</v>
      </c>
      <c r="G100" s="50">
        <v>3000</v>
      </c>
      <c r="H100" s="50">
        <f t="shared" si="11"/>
        <v>450000</v>
      </c>
      <c r="I100" s="44"/>
      <c r="J100" s="44"/>
      <c r="K100" s="44">
        <v>1</v>
      </c>
      <c r="L100" s="44"/>
      <c r="M100" s="44"/>
      <c r="N100" s="44"/>
      <c r="O100" s="44">
        <v>1</v>
      </c>
      <c r="P100" s="44"/>
      <c r="Q100" s="44"/>
      <c r="R100" s="44"/>
      <c r="S100" s="44"/>
      <c r="T100" s="44"/>
      <c r="U100" s="44"/>
    </row>
    <row r="101" spans="1:21" x14ac:dyDescent="0.25">
      <c r="A101" s="28">
        <v>91</v>
      </c>
      <c r="B101" s="26"/>
      <c r="C101" s="49" t="s">
        <v>204</v>
      </c>
      <c r="D101" s="44"/>
      <c r="E101" s="93">
        <v>50</v>
      </c>
      <c r="F101" s="44" t="s">
        <v>82</v>
      </c>
      <c r="G101" s="50">
        <v>3000</v>
      </c>
      <c r="H101" s="50">
        <f t="shared" si="11"/>
        <v>150000</v>
      </c>
      <c r="I101" s="44"/>
      <c r="J101" s="44"/>
      <c r="K101" s="44"/>
      <c r="L101" s="44"/>
      <c r="M101" s="44"/>
      <c r="N101" s="44"/>
      <c r="O101" s="44"/>
      <c r="P101" s="44">
        <v>1</v>
      </c>
      <c r="Q101" s="44"/>
      <c r="R101" s="44"/>
      <c r="S101" s="44"/>
      <c r="T101" s="44"/>
      <c r="U101" s="44"/>
    </row>
    <row r="102" spans="1:21" x14ac:dyDescent="0.25">
      <c r="A102" s="28">
        <v>92</v>
      </c>
      <c r="B102" s="26"/>
      <c r="C102" s="49" t="s">
        <v>140</v>
      </c>
      <c r="D102" s="44"/>
      <c r="E102" s="93">
        <v>150</v>
      </c>
      <c r="F102" s="44" t="s">
        <v>82</v>
      </c>
      <c r="G102" s="50">
        <v>3000</v>
      </c>
      <c r="H102" s="50">
        <f>E102*G102</f>
        <v>450000</v>
      </c>
      <c r="I102" s="44"/>
      <c r="J102" s="44">
        <v>1</v>
      </c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1:21" x14ac:dyDescent="0.25">
      <c r="A103" s="28">
        <v>93</v>
      </c>
      <c r="B103" s="26"/>
      <c r="C103" s="49" t="s">
        <v>165</v>
      </c>
      <c r="D103" s="44"/>
      <c r="E103" s="93">
        <v>50</v>
      </c>
      <c r="F103" s="44" t="s">
        <v>138</v>
      </c>
      <c r="G103" s="50">
        <v>6000</v>
      </c>
      <c r="H103" s="50">
        <f t="shared" si="11"/>
        <v>300000</v>
      </c>
      <c r="I103" s="44"/>
      <c r="J103" s="44"/>
      <c r="K103" s="44">
        <v>1</v>
      </c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25">
      <c r="A104" s="28">
        <v>94</v>
      </c>
      <c r="B104" s="26"/>
      <c r="C104" s="49" t="s">
        <v>166</v>
      </c>
      <c r="D104" s="44"/>
      <c r="E104" s="93"/>
      <c r="F104" s="44"/>
      <c r="G104" s="50"/>
      <c r="H104" s="50">
        <f>E104*G104</f>
        <v>0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25">
      <c r="A105" s="28">
        <v>95</v>
      </c>
      <c r="B105" s="26"/>
      <c r="C105" s="148" t="s">
        <v>257</v>
      </c>
      <c r="D105" s="44"/>
      <c r="E105" s="93">
        <v>100</v>
      </c>
      <c r="F105" s="44" t="s">
        <v>82</v>
      </c>
      <c r="G105" s="50">
        <v>10000</v>
      </c>
      <c r="H105" s="50">
        <f t="shared" ref="H105:H108" si="15">E105*G105</f>
        <v>1000000</v>
      </c>
      <c r="I105" s="44"/>
      <c r="J105" s="44"/>
      <c r="K105" s="44">
        <v>1</v>
      </c>
      <c r="L105" s="44"/>
      <c r="M105" s="44"/>
      <c r="N105" s="44"/>
      <c r="O105" s="44">
        <v>1</v>
      </c>
      <c r="P105" s="44"/>
      <c r="Q105" s="44"/>
      <c r="R105" s="44"/>
      <c r="S105" s="44"/>
      <c r="T105" s="44"/>
      <c r="U105" s="44"/>
    </row>
    <row r="106" spans="1:21" x14ac:dyDescent="0.25">
      <c r="A106" s="28">
        <v>96</v>
      </c>
      <c r="B106" s="26"/>
      <c r="C106" s="148" t="s">
        <v>204</v>
      </c>
      <c r="D106" s="44"/>
      <c r="E106" s="93">
        <v>45</v>
      </c>
      <c r="F106" s="44" t="s">
        <v>82</v>
      </c>
      <c r="G106" s="50">
        <v>10000</v>
      </c>
      <c r="H106" s="50">
        <f t="shared" si="15"/>
        <v>450000</v>
      </c>
      <c r="I106" s="44"/>
      <c r="J106" s="44"/>
      <c r="K106" s="44"/>
      <c r="L106" s="44"/>
      <c r="M106" s="44"/>
      <c r="N106" s="44"/>
      <c r="O106" s="44"/>
      <c r="P106" s="44">
        <v>1</v>
      </c>
      <c r="Q106" s="44"/>
      <c r="R106" s="44"/>
      <c r="S106" s="44"/>
      <c r="T106" s="44"/>
      <c r="U106" s="44"/>
    </row>
    <row r="107" spans="1:21" x14ac:dyDescent="0.25">
      <c r="A107" s="28">
        <v>97</v>
      </c>
      <c r="B107" s="26"/>
      <c r="C107" s="49" t="s">
        <v>140</v>
      </c>
      <c r="D107" s="44"/>
      <c r="E107" s="93">
        <v>150</v>
      </c>
      <c r="F107" s="44" t="s">
        <v>82</v>
      </c>
      <c r="G107" s="50">
        <v>10000</v>
      </c>
      <c r="H107" s="50">
        <f>E107*G107</f>
        <v>1500000</v>
      </c>
      <c r="I107" s="44"/>
      <c r="J107" s="44">
        <v>1</v>
      </c>
      <c r="K107" s="44"/>
      <c r="L107" s="44"/>
      <c r="M107" s="44"/>
      <c r="N107" s="44"/>
      <c r="O107" s="44"/>
      <c r="P107" s="44">
        <v>1</v>
      </c>
      <c r="Q107" s="44"/>
      <c r="R107" s="44"/>
      <c r="S107" s="44"/>
      <c r="T107" s="44"/>
      <c r="U107" s="44"/>
    </row>
    <row r="108" spans="1:21" x14ac:dyDescent="0.25">
      <c r="A108" s="28">
        <v>98</v>
      </c>
      <c r="B108" s="26"/>
      <c r="C108" s="49" t="s">
        <v>145</v>
      </c>
      <c r="D108" s="44"/>
      <c r="E108" s="93">
        <v>100</v>
      </c>
      <c r="F108" s="44" t="s">
        <v>82</v>
      </c>
      <c r="G108" s="50">
        <v>10000</v>
      </c>
      <c r="H108" s="50">
        <f t="shared" si="15"/>
        <v>1000000</v>
      </c>
      <c r="I108" s="44"/>
      <c r="J108" s="44">
        <v>1</v>
      </c>
      <c r="K108" s="44"/>
      <c r="L108" s="44"/>
      <c r="M108" s="44"/>
      <c r="N108" s="44"/>
      <c r="O108" s="44"/>
      <c r="P108" s="44"/>
      <c r="Q108" s="44">
        <v>1</v>
      </c>
      <c r="R108" s="44"/>
      <c r="S108" s="44"/>
      <c r="T108" s="44"/>
      <c r="U108" s="44"/>
    </row>
    <row r="109" spans="1:21" x14ac:dyDescent="0.25">
      <c r="A109" s="28">
        <v>99</v>
      </c>
      <c r="B109" s="26"/>
      <c r="C109" s="148" t="s">
        <v>168</v>
      </c>
      <c r="D109" s="131"/>
      <c r="E109" s="149">
        <v>120</v>
      </c>
      <c r="F109" s="44" t="s">
        <v>138</v>
      </c>
      <c r="G109" s="50">
        <v>2500</v>
      </c>
      <c r="H109" s="50">
        <f>E109*G109</f>
        <v>300000</v>
      </c>
      <c r="I109" s="44"/>
      <c r="J109" s="44"/>
      <c r="K109" s="44"/>
      <c r="L109" s="44">
        <v>1</v>
      </c>
      <c r="M109" s="44"/>
      <c r="N109" s="44"/>
      <c r="O109" s="44"/>
      <c r="P109" s="44"/>
      <c r="Q109" s="44">
        <v>1</v>
      </c>
      <c r="R109" s="44"/>
      <c r="S109" s="44"/>
      <c r="T109" s="44"/>
      <c r="U109" s="44"/>
    </row>
    <row r="110" spans="1:21" x14ac:dyDescent="0.25">
      <c r="A110" s="28">
        <v>100</v>
      </c>
      <c r="B110" s="26"/>
      <c r="C110" s="49" t="s">
        <v>169</v>
      </c>
      <c r="D110" s="44"/>
      <c r="E110" s="93">
        <v>5</v>
      </c>
      <c r="F110" s="44" t="s">
        <v>138</v>
      </c>
      <c r="G110" s="50">
        <v>11000</v>
      </c>
      <c r="H110" s="50">
        <f t="shared" si="11"/>
        <v>55000</v>
      </c>
      <c r="I110" s="44"/>
      <c r="J110" s="44"/>
      <c r="K110" s="44"/>
      <c r="L110" s="44">
        <v>1</v>
      </c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x14ac:dyDescent="0.25">
      <c r="A111" s="28">
        <v>101</v>
      </c>
      <c r="B111" s="26"/>
      <c r="C111" s="49" t="s">
        <v>170</v>
      </c>
      <c r="D111" s="44"/>
      <c r="E111" s="93">
        <v>10</v>
      </c>
      <c r="F111" s="44" t="s">
        <v>138</v>
      </c>
      <c r="G111" s="50">
        <v>10500</v>
      </c>
      <c r="H111" s="50">
        <f t="shared" si="11"/>
        <v>105000</v>
      </c>
      <c r="I111" s="44"/>
      <c r="J111" s="44"/>
      <c r="K111" s="44"/>
      <c r="L111" s="44">
        <v>1</v>
      </c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x14ac:dyDescent="0.25">
      <c r="A112" s="28">
        <v>102</v>
      </c>
      <c r="B112" s="26"/>
      <c r="C112" s="49" t="s">
        <v>171</v>
      </c>
      <c r="D112" s="44"/>
      <c r="E112" s="93">
        <v>30</v>
      </c>
      <c r="F112" s="44" t="s">
        <v>138</v>
      </c>
      <c r="G112" s="50">
        <v>8500</v>
      </c>
      <c r="H112" s="50">
        <f t="shared" si="11"/>
        <v>255000</v>
      </c>
      <c r="I112" s="44"/>
      <c r="J112" s="44"/>
      <c r="K112" s="44"/>
      <c r="L112" s="44">
        <v>1</v>
      </c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6" x14ac:dyDescent="0.25">
      <c r="A113" s="28">
        <v>103</v>
      </c>
      <c r="B113" s="26"/>
      <c r="C113" s="49" t="s">
        <v>167</v>
      </c>
      <c r="D113" s="44"/>
      <c r="E113" s="93">
        <v>55</v>
      </c>
      <c r="F113" s="44" t="s">
        <v>138</v>
      </c>
      <c r="G113" s="50">
        <v>6500</v>
      </c>
      <c r="H113" s="50">
        <f>E113*G113</f>
        <v>357500</v>
      </c>
      <c r="I113" s="44"/>
      <c r="J113" s="44"/>
      <c r="K113" s="44"/>
      <c r="L113" s="44">
        <v>1</v>
      </c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6" x14ac:dyDescent="0.25">
      <c r="A114" s="28">
        <v>104</v>
      </c>
      <c r="B114" s="26"/>
      <c r="C114" s="49" t="s">
        <v>172</v>
      </c>
      <c r="D114" s="44"/>
      <c r="E114" s="93">
        <v>440</v>
      </c>
      <c r="F114" s="44" t="s">
        <v>138</v>
      </c>
      <c r="G114" s="50">
        <v>2800</v>
      </c>
      <c r="H114" s="50">
        <f t="shared" si="11"/>
        <v>1232000</v>
      </c>
      <c r="I114" s="44"/>
      <c r="J114" s="44">
        <v>1</v>
      </c>
      <c r="K114" s="44"/>
      <c r="L114" s="44"/>
      <c r="M114" s="44"/>
      <c r="N114" s="44"/>
      <c r="O114" s="44"/>
      <c r="P114" s="44"/>
      <c r="Q114" s="44">
        <v>1</v>
      </c>
      <c r="R114" s="44"/>
      <c r="S114" s="44"/>
      <c r="T114" s="44"/>
      <c r="U114" s="44"/>
      <c r="Z114" s="25">
        <f>240/35</f>
        <v>6.8571428571428568</v>
      </c>
    </row>
    <row r="115" spans="1:26" x14ac:dyDescent="0.25">
      <c r="A115" s="28">
        <v>105</v>
      </c>
      <c r="B115" s="26"/>
      <c r="C115" s="148" t="s">
        <v>173</v>
      </c>
      <c r="D115" s="28"/>
      <c r="E115" s="149">
        <f>3960+440</f>
        <v>4400</v>
      </c>
      <c r="F115" s="44" t="s">
        <v>138</v>
      </c>
      <c r="G115" s="50">
        <v>400</v>
      </c>
      <c r="H115" s="50">
        <f t="shared" si="11"/>
        <v>1760000</v>
      </c>
      <c r="I115" s="44"/>
      <c r="J115" s="44"/>
      <c r="K115" s="44"/>
      <c r="L115" s="44">
        <v>1</v>
      </c>
      <c r="M115" s="44"/>
      <c r="N115" s="44"/>
      <c r="O115" s="44"/>
      <c r="P115" s="44">
        <v>1</v>
      </c>
      <c r="Q115" s="44"/>
      <c r="R115" s="44"/>
      <c r="S115" s="44"/>
      <c r="T115" s="44"/>
      <c r="U115" s="44"/>
    </row>
    <row r="116" spans="1:26" x14ac:dyDescent="0.25">
      <c r="A116" s="28">
        <v>106</v>
      </c>
      <c r="B116" s="26"/>
      <c r="C116" s="49" t="s">
        <v>175</v>
      </c>
      <c r="D116" s="44"/>
      <c r="E116" s="93">
        <v>5</v>
      </c>
      <c r="F116" s="44" t="s">
        <v>138</v>
      </c>
      <c r="G116" s="50">
        <v>900</v>
      </c>
      <c r="H116" s="50">
        <f t="shared" si="11"/>
        <v>4500</v>
      </c>
      <c r="I116" s="44"/>
      <c r="J116" s="44"/>
      <c r="K116" s="44"/>
      <c r="L116" s="44">
        <v>1</v>
      </c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6" x14ac:dyDescent="0.25">
      <c r="A117" s="28">
        <v>107</v>
      </c>
      <c r="B117" s="26"/>
      <c r="C117" s="49" t="s">
        <v>176</v>
      </c>
      <c r="D117" s="44"/>
      <c r="E117" s="93">
        <v>10</v>
      </c>
      <c r="F117" s="44" t="s">
        <v>138</v>
      </c>
      <c r="G117" s="50">
        <v>850</v>
      </c>
      <c r="H117" s="50">
        <f t="shared" si="11"/>
        <v>8500</v>
      </c>
      <c r="I117" s="44"/>
      <c r="J117" s="44"/>
      <c r="K117" s="44"/>
      <c r="L117" s="44">
        <v>1</v>
      </c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6" x14ac:dyDescent="0.25">
      <c r="A118" s="28">
        <v>108</v>
      </c>
      <c r="B118" s="26"/>
      <c r="C118" s="49" t="s">
        <v>177</v>
      </c>
      <c r="D118" s="44"/>
      <c r="E118" s="93">
        <v>30</v>
      </c>
      <c r="F118" s="44" t="s">
        <v>138</v>
      </c>
      <c r="G118" s="50">
        <v>800</v>
      </c>
      <c r="H118" s="50">
        <f t="shared" si="11"/>
        <v>24000</v>
      </c>
      <c r="I118" s="44"/>
      <c r="J118" s="44"/>
      <c r="K118" s="44"/>
      <c r="L118" s="44">
        <v>1</v>
      </c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6" x14ac:dyDescent="0.25">
      <c r="A119" s="28">
        <v>109</v>
      </c>
      <c r="B119" s="26"/>
      <c r="C119" s="49" t="s">
        <v>174</v>
      </c>
      <c r="D119" s="44"/>
      <c r="E119" s="93">
        <v>55</v>
      </c>
      <c r="F119" s="44" t="s">
        <v>138</v>
      </c>
      <c r="G119" s="50">
        <v>680</v>
      </c>
      <c r="H119" s="50">
        <f>E119*G119</f>
        <v>37400</v>
      </c>
      <c r="I119" s="44"/>
      <c r="J119" s="44"/>
      <c r="K119" s="44"/>
      <c r="L119" s="44">
        <v>1</v>
      </c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6" x14ac:dyDescent="0.25">
      <c r="A120" s="28">
        <v>110</v>
      </c>
      <c r="B120" s="26"/>
      <c r="C120" s="49" t="s">
        <v>178</v>
      </c>
      <c r="D120" s="44"/>
      <c r="E120" s="93"/>
      <c r="F120" s="44"/>
      <c r="G120" s="50"/>
      <c r="H120" s="50">
        <f t="shared" si="11"/>
        <v>0</v>
      </c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6" x14ac:dyDescent="0.25">
      <c r="A121" s="28">
        <v>111</v>
      </c>
      <c r="B121" s="26"/>
      <c r="C121" s="148" t="s">
        <v>257</v>
      </c>
      <c r="D121" s="44"/>
      <c r="E121" s="93">
        <v>100</v>
      </c>
      <c r="F121" s="44" t="s">
        <v>82</v>
      </c>
      <c r="G121" s="50">
        <v>9000</v>
      </c>
      <c r="H121" s="50">
        <f t="shared" si="11"/>
        <v>900000</v>
      </c>
      <c r="I121" s="44"/>
      <c r="J121" s="44"/>
      <c r="K121" s="44">
        <v>1</v>
      </c>
      <c r="L121" s="44"/>
      <c r="M121" s="44"/>
      <c r="N121" s="44"/>
      <c r="O121" s="44">
        <v>1</v>
      </c>
      <c r="P121" s="44"/>
      <c r="Q121" s="44"/>
      <c r="R121" s="44"/>
      <c r="S121" s="44"/>
      <c r="T121" s="44"/>
      <c r="U121" s="44"/>
    </row>
    <row r="122" spans="1:26" x14ac:dyDescent="0.25">
      <c r="A122" s="28">
        <v>112</v>
      </c>
      <c r="B122" s="26"/>
      <c r="C122" s="148" t="s">
        <v>204</v>
      </c>
      <c r="D122" s="44"/>
      <c r="E122" s="93">
        <v>45</v>
      </c>
      <c r="F122" s="44" t="s">
        <v>82</v>
      </c>
      <c r="G122" s="50">
        <v>9000</v>
      </c>
      <c r="H122" s="50">
        <f t="shared" si="11"/>
        <v>405000</v>
      </c>
      <c r="I122" s="44"/>
      <c r="J122" s="44"/>
      <c r="K122" s="44"/>
      <c r="L122" s="44"/>
      <c r="M122" s="44"/>
      <c r="N122" s="44"/>
      <c r="O122" s="44"/>
      <c r="P122" s="44">
        <v>1</v>
      </c>
      <c r="Q122" s="44"/>
      <c r="R122" s="44"/>
      <c r="S122" s="44"/>
      <c r="T122" s="44"/>
      <c r="U122" s="44"/>
    </row>
    <row r="123" spans="1:26" x14ac:dyDescent="0.25">
      <c r="A123" s="28">
        <v>113</v>
      </c>
      <c r="B123" s="26"/>
      <c r="C123" s="49" t="s">
        <v>222</v>
      </c>
      <c r="D123" s="44"/>
      <c r="E123" s="93">
        <v>100</v>
      </c>
      <c r="F123" s="44" t="s">
        <v>82</v>
      </c>
      <c r="G123" s="50">
        <v>9000</v>
      </c>
      <c r="H123" s="50">
        <f t="shared" si="11"/>
        <v>900000</v>
      </c>
      <c r="I123" s="44"/>
      <c r="J123" s="44"/>
      <c r="K123" s="44"/>
      <c r="L123" s="44"/>
      <c r="M123" s="44">
        <v>1</v>
      </c>
      <c r="N123" s="44"/>
      <c r="O123" s="44"/>
      <c r="P123" s="44"/>
      <c r="Q123" s="44">
        <v>1</v>
      </c>
      <c r="R123" s="44"/>
      <c r="S123" s="44"/>
      <c r="T123" s="44"/>
      <c r="U123" s="44"/>
    </row>
    <row r="124" spans="1:26" x14ac:dyDescent="0.25">
      <c r="A124" s="28">
        <v>114</v>
      </c>
      <c r="B124" s="26"/>
      <c r="C124" s="49" t="s">
        <v>140</v>
      </c>
      <c r="D124" s="44"/>
      <c r="E124" s="93">
        <v>150</v>
      </c>
      <c r="F124" s="44" t="s">
        <v>82</v>
      </c>
      <c r="G124" s="50">
        <v>9000</v>
      </c>
      <c r="H124" s="50">
        <f t="shared" si="11"/>
        <v>1350000</v>
      </c>
      <c r="I124" s="44"/>
      <c r="J124" s="44">
        <v>1</v>
      </c>
      <c r="K124" s="44"/>
      <c r="L124" s="44"/>
      <c r="M124" s="44"/>
      <c r="N124" s="44"/>
      <c r="O124" s="44"/>
      <c r="P124" s="44">
        <v>1</v>
      </c>
      <c r="Q124" s="44"/>
      <c r="R124" s="44"/>
      <c r="S124" s="44"/>
      <c r="T124" s="44"/>
      <c r="U124" s="44"/>
    </row>
    <row r="125" spans="1:26" x14ac:dyDescent="0.25">
      <c r="A125" s="28">
        <v>115</v>
      </c>
      <c r="B125" s="26"/>
      <c r="C125" s="49" t="s">
        <v>223</v>
      </c>
      <c r="D125" s="44"/>
      <c r="E125" s="93">
        <v>100</v>
      </c>
      <c r="F125" s="44" t="s">
        <v>138</v>
      </c>
      <c r="G125" s="50">
        <v>9000</v>
      </c>
      <c r="H125" s="50">
        <f>E125*G125</f>
        <v>900000</v>
      </c>
      <c r="I125" s="44"/>
      <c r="J125" s="44"/>
      <c r="K125" s="44"/>
      <c r="L125" s="44"/>
      <c r="M125" s="44">
        <v>1</v>
      </c>
      <c r="N125" s="44"/>
      <c r="O125" s="44"/>
      <c r="P125" s="44"/>
      <c r="Q125" s="44"/>
      <c r="R125" s="44"/>
      <c r="S125" s="44"/>
      <c r="T125" s="44"/>
      <c r="U125" s="44"/>
    </row>
    <row r="126" spans="1:26" x14ac:dyDescent="0.25">
      <c r="A126" s="28">
        <v>116</v>
      </c>
      <c r="B126" s="26"/>
      <c r="C126" s="94" t="s">
        <v>146</v>
      </c>
      <c r="D126" s="44"/>
      <c r="E126" s="93">
        <v>200</v>
      </c>
      <c r="F126" s="44" t="s">
        <v>82</v>
      </c>
      <c r="G126" s="50">
        <v>9000</v>
      </c>
      <c r="H126" s="50">
        <f t="shared" ref="H126:H143" si="16">E126*G126</f>
        <v>1800000</v>
      </c>
      <c r="I126" s="44"/>
      <c r="J126" s="44">
        <v>1</v>
      </c>
      <c r="K126" s="44"/>
      <c r="L126" s="44"/>
      <c r="M126" s="44">
        <v>1</v>
      </c>
      <c r="N126" s="44"/>
      <c r="O126" s="44"/>
      <c r="P126" s="44"/>
      <c r="Q126" s="44"/>
      <c r="R126" s="44"/>
      <c r="S126" s="44"/>
      <c r="T126" s="44"/>
      <c r="U126" s="44"/>
    </row>
    <row r="127" spans="1:26" x14ac:dyDescent="0.25">
      <c r="A127" s="28">
        <v>117</v>
      </c>
      <c r="B127" s="26"/>
      <c r="C127" s="49" t="s">
        <v>147</v>
      </c>
      <c r="D127" s="44"/>
      <c r="E127" s="93">
        <v>10</v>
      </c>
      <c r="F127" s="44" t="s">
        <v>82</v>
      </c>
      <c r="G127" s="50">
        <v>9000</v>
      </c>
      <c r="H127" s="50">
        <f t="shared" si="16"/>
        <v>90000</v>
      </c>
      <c r="I127" s="44"/>
      <c r="J127" s="44">
        <v>1</v>
      </c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6" x14ac:dyDescent="0.25">
      <c r="A128" s="28">
        <v>118</v>
      </c>
      <c r="B128" s="26"/>
      <c r="C128" s="49" t="s">
        <v>180</v>
      </c>
      <c r="D128" s="44"/>
      <c r="E128" s="93">
        <v>5</v>
      </c>
      <c r="F128" s="44" t="s">
        <v>138</v>
      </c>
      <c r="G128" s="50">
        <v>4600</v>
      </c>
      <c r="H128" s="50">
        <f t="shared" si="16"/>
        <v>23000</v>
      </c>
      <c r="I128" s="44"/>
      <c r="J128" s="44"/>
      <c r="K128" s="44"/>
      <c r="L128" s="44">
        <v>1</v>
      </c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x14ac:dyDescent="0.25">
      <c r="A129" s="28">
        <v>119</v>
      </c>
      <c r="B129" s="26"/>
      <c r="C129" s="49" t="s">
        <v>181</v>
      </c>
      <c r="D129" s="44"/>
      <c r="E129" s="93">
        <v>10</v>
      </c>
      <c r="F129" s="44" t="s">
        <v>138</v>
      </c>
      <c r="G129" s="50">
        <v>4400</v>
      </c>
      <c r="H129" s="50">
        <f t="shared" si="16"/>
        <v>44000</v>
      </c>
      <c r="I129" s="44"/>
      <c r="J129" s="44"/>
      <c r="K129" s="44"/>
      <c r="L129" s="44">
        <v>1</v>
      </c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x14ac:dyDescent="0.25">
      <c r="A130" s="28">
        <v>120</v>
      </c>
      <c r="B130" s="26"/>
      <c r="C130" s="49" t="s">
        <v>182</v>
      </c>
      <c r="D130" s="44"/>
      <c r="E130" s="93">
        <v>30</v>
      </c>
      <c r="F130" s="44" t="s">
        <v>138</v>
      </c>
      <c r="G130" s="50">
        <v>4200</v>
      </c>
      <c r="H130" s="50">
        <f t="shared" si="16"/>
        <v>126000</v>
      </c>
      <c r="I130" s="44"/>
      <c r="J130" s="44"/>
      <c r="K130" s="44"/>
      <c r="L130" s="44">
        <v>1</v>
      </c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x14ac:dyDescent="0.25">
      <c r="A131" s="28">
        <v>121</v>
      </c>
      <c r="B131" s="26"/>
      <c r="C131" s="49" t="s">
        <v>179</v>
      </c>
      <c r="D131" s="44"/>
      <c r="E131" s="93">
        <v>60</v>
      </c>
      <c r="F131" s="44" t="s">
        <v>138</v>
      </c>
      <c r="G131" s="50">
        <v>4000</v>
      </c>
      <c r="H131" s="50">
        <f>E131*G131</f>
        <v>240000</v>
      </c>
      <c r="I131" s="44"/>
      <c r="J131" s="44"/>
      <c r="K131" s="44"/>
      <c r="L131" s="44">
        <v>1</v>
      </c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x14ac:dyDescent="0.25">
      <c r="A132" s="28">
        <v>122</v>
      </c>
      <c r="B132" s="26"/>
      <c r="C132" s="49" t="s">
        <v>183</v>
      </c>
      <c r="D132" s="44"/>
      <c r="E132" s="93">
        <f>440+165</f>
        <v>605</v>
      </c>
      <c r="F132" s="44" t="s">
        <v>138</v>
      </c>
      <c r="G132" s="50">
        <v>580</v>
      </c>
      <c r="H132" s="50">
        <f t="shared" si="16"/>
        <v>350900</v>
      </c>
      <c r="I132" s="44"/>
      <c r="J132" s="44"/>
      <c r="K132" s="44"/>
      <c r="L132" s="44">
        <v>1</v>
      </c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1:21" x14ac:dyDescent="0.25">
      <c r="A133" s="28">
        <v>123</v>
      </c>
      <c r="B133" s="26"/>
      <c r="C133" s="49" t="s">
        <v>184</v>
      </c>
      <c r="D133" s="44"/>
      <c r="E133" s="93">
        <v>55</v>
      </c>
      <c r="F133" s="44" t="s">
        <v>138</v>
      </c>
      <c r="G133" s="50">
        <v>670</v>
      </c>
      <c r="H133" s="50">
        <f t="shared" si="16"/>
        <v>36850</v>
      </c>
      <c r="I133" s="44"/>
      <c r="J133" s="44"/>
      <c r="K133" s="44"/>
      <c r="L133" s="44">
        <v>1</v>
      </c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x14ac:dyDescent="0.25">
      <c r="A134" s="28">
        <v>124</v>
      </c>
      <c r="B134" s="26"/>
      <c r="C134" s="49" t="s">
        <v>185</v>
      </c>
      <c r="D134" s="44"/>
      <c r="E134" s="93">
        <v>5</v>
      </c>
      <c r="F134" s="44" t="s">
        <v>138</v>
      </c>
      <c r="G134" s="50">
        <v>870</v>
      </c>
      <c r="H134" s="50">
        <f t="shared" si="16"/>
        <v>4350</v>
      </c>
      <c r="I134" s="44"/>
      <c r="J134" s="44"/>
      <c r="K134" s="44"/>
      <c r="L134" s="44">
        <v>1</v>
      </c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x14ac:dyDescent="0.25">
      <c r="A135" s="28">
        <v>125</v>
      </c>
      <c r="B135" s="26"/>
      <c r="C135" s="49" t="s">
        <v>186</v>
      </c>
      <c r="D135" s="44"/>
      <c r="E135" s="93">
        <v>10</v>
      </c>
      <c r="F135" s="44" t="s">
        <v>138</v>
      </c>
      <c r="G135" s="50">
        <v>800</v>
      </c>
      <c r="H135" s="50">
        <f t="shared" si="16"/>
        <v>8000</v>
      </c>
      <c r="I135" s="44"/>
      <c r="J135" s="44"/>
      <c r="K135" s="44"/>
      <c r="L135" s="44">
        <v>1</v>
      </c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x14ac:dyDescent="0.25">
      <c r="A136" s="28">
        <v>126</v>
      </c>
      <c r="B136" s="26"/>
      <c r="C136" s="49" t="s">
        <v>187</v>
      </c>
      <c r="D136" s="44"/>
      <c r="E136" s="93">
        <v>30</v>
      </c>
      <c r="F136" s="44" t="s">
        <v>138</v>
      </c>
      <c r="G136" s="50">
        <v>740</v>
      </c>
      <c r="H136" s="50">
        <f t="shared" si="16"/>
        <v>22200</v>
      </c>
      <c r="I136" s="44"/>
      <c r="J136" s="44"/>
      <c r="K136" s="44"/>
      <c r="L136" s="44">
        <v>1</v>
      </c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x14ac:dyDescent="0.25">
      <c r="A137" s="28">
        <v>127</v>
      </c>
      <c r="B137" s="26"/>
      <c r="C137" s="49" t="s">
        <v>188</v>
      </c>
      <c r="D137" s="44"/>
      <c r="E137" s="93">
        <v>440</v>
      </c>
      <c r="F137" s="44" t="s">
        <v>138</v>
      </c>
      <c r="G137" s="50">
        <v>250</v>
      </c>
      <c r="H137" s="50">
        <f t="shared" si="16"/>
        <v>110000</v>
      </c>
      <c r="I137" s="44"/>
      <c r="J137" s="44"/>
      <c r="K137" s="44"/>
      <c r="L137" s="44">
        <v>1</v>
      </c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x14ac:dyDescent="0.25">
      <c r="A138" s="28">
        <v>128</v>
      </c>
      <c r="B138" s="26"/>
      <c r="C138" s="49" t="s">
        <v>189</v>
      </c>
      <c r="D138" s="44"/>
      <c r="E138" s="93">
        <f>440*5</f>
        <v>2200</v>
      </c>
      <c r="F138" s="44" t="s">
        <v>138</v>
      </c>
      <c r="G138" s="50">
        <v>100</v>
      </c>
      <c r="H138" s="50">
        <f t="shared" si="16"/>
        <v>220000</v>
      </c>
      <c r="I138" s="44"/>
      <c r="J138" s="44"/>
      <c r="K138" s="44"/>
      <c r="L138" s="44">
        <v>1</v>
      </c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x14ac:dyDescent="0.25">
      <c r="A139" s="28">
        <v>129</v>
      </c>
      <c r="B139" s="26"/>
      <c r="C139" s="49" t="s">
        <v>190</v>
      </c>
      <c r="D139" s="44"/>
      <c r="E139" s="93"/>
      <c r="F139" s="44"/>
      <c r="G139" s="50"/>
      <c r="H139" s="50">
        <f t="shared" si="16"/>
        <v>0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x14ac:dyDescent="0.25">
      <c r="A140" s="28">
        <v>130</v>
      </c>
      <c r="B140" s="26"/>
      <c r="C140" s="49" t="s">
        <v>145</v>
      </c>
      <c r="D140" s="44"/>
      <c r="E140" s="93">
        <v>100</v>
      </c>
      <c r="F140" s="44" t="s">
        <v>82</v>
      </c>
      <c r="G140" s="50">
        <v>9000</v>
      </c>
      <c r="H140" s="50">
        <f t="shared" si="16"/>
        <v>900000</v>
      </c>
      <c r="I140" s="44"/>
      <c r="J140" s="44">
        <v>1</v>
      </c>
      <c r="K140" s="44"/>
      <c r="L140" s="44"/>
      <c r="M140" s="44"/>
      <c r="N140" s="44"/>
      <c r="O140" s="44"/>
      <c r="P140" s="44"/>
      <c r="Q140" s="44">
        <v>1</v>
      </c>
      <c r="R140" s="44"/>
      <c r="S140" s="44"/>
      <c r="T140" s="44"/>
      <c r="U140" s="44"/>
    </row>
    <row r="141" spans="1:21" x14ac:dyDescent="0.25">
      <c r="A141" s="28">
        <v>131</v>
      </c>
      <c r="B141" s="26"/>
      <c r="C141" s="94" t="s">
        <v>146</v>
      </c>
      <c r="D141" s="44"/>
      <c r="E141" s="93">
        <v>200</v>
      </c>
      <c r="F141" s="44" t="s">
        <v>82</v>
      </c>
      <c r="G141" s="50">
        <v>9000</v>
      </c>
      <c r="H141" s="50">
        <f t="shared" si="16"/>
        <v>1800000</v>
      </c>
      <c r="I141" s="44"/>
      <c r="J141" s="44">
        <v>1</v>
      </c>
      <c r="K141" s="44"/>
      <c r="L141" s="44"/>
      <c r="M141" s="44">
        <v>1</v>
      </c>
      <c r="N141" s="44"/>
      <c r="O141" s="44"/>
      <c r="P141" s="44"/>
      <c r="Q141" s="44"/>
      <c r="R141" s="44"/>
      <c r="S141" s="44"/>
      <c r="T141" s="44"/>
      <c r="U141" s="44"/>
    </row>
    <row r="142" spans="1:21" x14ac:dyDescent="0.25">
      <c r="A142" s="28">
        <v>132</v>
      </c>
      <c r="B142" s="26"/>
      <c r="C142" s="49" t="s">
        <v>203</v>
      </c>
      <c r="D142" s="44"/>
      <c r="E142" s="93">
        <v>150</v>
      </c>
      <c r="F142" s="44" t="s">
        <v>82</v>
      </c>
      <c r="G142" s="50">
        <v>9000</v>
      </c>
      <c r="H142" s="50">
        <f t="shared" si="16"/>
        <v>1350000</v>
      </c>
      <c r="I142" s="44"/>
      <c r="J142" s="44"/>
      <c r="K142" s="44">
        <v>1</v>
      </c>
      <c r="L142" s="44"/>
      <c r="M142" s="44"/>
      <c r="N142" s="44"/>
      <c r="O142" s="44">
        <v>1</v>
      </c>
      <c r="P142" s="44"/>
      <c r="Q142" s="44"/>
      <c r="R142" s="44"/>
      <c r="S142" s="44"/>
      <c r="T142" s="44"/>
      <c r="U142" s="44"/>
    </row>
    <row r="143" spans="1:21" x14ac:dyDescent="0.25">
      <c r="A143" s="28">
        <v>133</v>
      </c>
      <c r="B143" s="26"/>
      <c r="C143" s="49" t="s">
        <v>204</v>
      </c>
      <c r="D143" s="44"/>
      <c r="E143" s="93">
        <v>50</v>
      </c>
      <c r="F143" s="44" t="s">
        <v>82</v>
      </c>
      <c r="G143" s="50">
        <v>9000</v>
      </c>
      <c r="H143" s="50">
        <f t="shared" si="16"/>
        <v>450000</v>
      </c>
      <c r="I143" s="44"/>
      <c r="J143" s="44"/>
      <c r="K143" s="44"/>
      <c r="L143" s="44"/>
      <c r="M143" s="44"/>
      <c r="N143" s="44"/>
      <c r="O143" s="44"/>
      <c r="P143" s="44">
        <v>1</v>
      </c>
      <c r="Q143" s="44"/>
      <c r="R143" s="44"/>
      <c r="S143" s="44"/>
      <c r="T143" s="44"/>
      <c r="U143" s="44"/>
    </row>
    <row r="144" spans="1:21" s="90" customFormat="1" ht="29.25" customHeight="1" x14ac:dyDescent="0.25">
      <c r="A144" s="28">
        <v>134</v>
      </c>
      <c r="B144" s="125"/>
      <c r="C144" s="126" t="s">
        <v>45</v>
      </c>
      <c r="D144" s="125"/>
      <c r="E144" s="125"/>
      <c r="F144" s="125"/>
      <c r="G144" s="127"/>
      <c r="H144" s="128">
        <f>SUM(H52+H47+H17+H14)</f>
        <v>2982205000</v>
      </c>
      <c r="I144" s="125"/>
      <c r="J144" s="129">
        <f t="shared" ref="J144:U144" si="17">J52+J17</f>
        <v>58</v>
      </c>
      <c r="K144" s="129">
        <f t="shared" si="17"/>
        <v>16</v>
      </c>
      <c r="L144" s="129">
        <f t="shared" si="17"/>
        <v>22</v>
      </c>
      <c r="M144" s="129">
        <f t="shared" si="17"/>
        <v>7</v>
      </c>
      <c r="N144" s="129">
        <f t="shared" si="17"/>
        <v>3</v>
      </c>
      <c r="O144" s="129">
        <f t="shared" si="17"/>
        <v>9</v>
      </c>
      <c r="P144" s="129">
        <f t="shared" si="17"/>
        <v>15</v>
      </c>
      <c r="Q144" s="129">
        <f t="shared" si="17"/>
        <v>9</v>
      </c>
      <c r="R144" s="129">
        <f t="shared" si="17"/>
        <v>0</v>
      </c>
      <c r="S144" s="129">
        <f t="shared" si="17"/>
        <v>1</v>
      </c>
      <c r="T144" s="129">
        <f t="shared" si="17"/>
        <v>3</v>
      </c>
      <c r="U144" s="129">
        <f t="shared" si="17"/>
        <v>1</v>
      </c>
    </row>
    <row r="145" spans="1:21" x14ac:dyDescent="0.25">
      <c r="A145" s="267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9"/>
      <c r="M145" s="270"/>
      <c r="N145" s="270"/>
      <c r="O145" s="270"/>
      <c r="P145" s="270"/>
      <c r="Q145" s="270"/>
      <c r="R145" s="270"/>
      <c r="S145" s="270"/>
      <c r="T145" s="270"/>
      <c r="U145" s="270"/>
    </row>
    <row r="146" spans="1:21" x14ac:dyDescent="0.25">
      <c r="G146" s="113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</row>
    <row r="147" spans="1:21" x14ac:dyDescent="0.25"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</row>
    <row r="148" spans="1:21" x14ac:dyDescent="0.25">
      <c r="I148" s="57"/>
    </row>
    <row r="149" spans="1:21" s="48" customFormat="1" x14ac:dyDescent="0.25">
      <c r="B149" s="58"/>
      <c r="C149" s="59" t="s">
        <v>46</v>
      </c>
      <c r="D149" s="58"/>
      <c r="E149" s="58"/>
      <c r="F149" s="58"/>
      <c r="G149" s="60"/>
      <c r="H149" s="60"/>
      <c r="I149" s="262" t="s">
        <v>48</v>
      </c>
      <c r="J149" s="262"/>
      <c r="K149" s="262"/>
      <c r="L149" s="61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s="48" customFormat="1" x14ac:dyDescent="0.25">
      <c r="A150" s="61"/>
      <c r="B150" s="61"/>
      <c r="D150" s="61"/>
      <c r="E150" s="61"/>
      <c r="F150" s="61"/>
      <c r="G150" s="62"/>
      <c r="H150" s="62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s="48" customFormat="1" x14ac:dyDescent="0.25">
      <c r="A151" s="61"/>
      <c r="B151" s="61"/>
      <c r="D151" s="61"/>
      <c r="E151" s="61"/>
      <c r="F151" s="61"/>
      <c r="G151" s="62"/>
      <c r="H151" s="62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s="48" customFormat="1" x14ac:dyDescent="0.25">
      <c r="A152" s="61"/>
      <c r="B152" s="61"/>
      <c r="D152" s="61"/>
      <c r="E152" s="61"/>
      <c r="F152" s="61"/>
      <c r="G152" s="62"/>
      <c r="H152" s="62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s="48" customFormat="1" ht="15" x14ac:dyDescent="0.25">
      <c r="A153" s="61"/>
      <c r="B153" s="61"/>
      <c r="C153" s="63" t="s">
        <v>234</v>
      </c>
      <c r="D153" s="64"/>
      <c r="E153" s="61"/>
      <c r="F153" s="61"/>
      <c r="G153" s="62"/>
      <c r="H153" s="62"/>
      <c r="I153" s="260" t="s">
        <v>51</v>
      </c>
      <c r="J153" s="260"/>
      <c r="K153" s="260"/>
      <c r="L153" s="260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s="48" customFormat="1" x14ac:dyDescent="0.25">
      <c r="A154" s="61"/>
      <c r="B154" s="61"/>
      <c r="C154" s="48" t="s">
        <v>235</v>
      </c>
      <c r="D154" s="61"/>
      <c r="E154" s="61"/>
      <c r="F154" s="61"/>
      <c r="G154" s="62"/>
      <c r="H154" s="62"/>
      <c r="I154" s="261" t="s">
        <v>53</v>
      </c>
      <c r="J154" s="261"/>
      <c r="K154" s="261"/>
      <c r="L154" s="2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s="48" customFormat="1" x14ac:dyDescent="0.25">
      <c r="A155" s="61"/>
      <c r="B155" s="61"/>
      <c r="C155" s="259" t="s">
        <v>95</v>
      </c>
      <c r="D155" s="259"/>
      <c r="E155" s="61"/>
      <c r="F155" s="61"/>
      <c r="G155" s="62"/>
      <c r="H155" s="62"/>
      <c r="I155" s="261" t="s">
        <v>55</v>
      </c>
      <c r="J155" s="261"/>
      <c r="K155" s="261"/>
      <c r="L155" s="2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s="48" customFormat="1" x14ac:dyDescent="0.25">
      <c r="A156" s="61"/>
      <c r="B156" s="61"/>
      <c r="D156" s="61"/>
      <c r="E156" s="61"/>
      <c r="F156" s="61"/>
      <c r="G156" s="62"/>
      <c r="H156" s="62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8" spans="1:21" x14ac:dyDescent="0.25">
      <c r="J158" s="51">
        <v>96</v>
      </c>
      <c r="K158" s="51">
        <v>36</v>
      </c>
      <c r="L158" s="51">
        <v>22</v>
      </c>
      <c r="M158" s="51">
        <v>277</v>
      </c>
      <c r="N158" s="51">
        <v>32</v>
      </c>
      <c r="O158" s="51">
        <v>15</v>
      </c>
      <c r="P158" s="51">
        <v>151</v>
      </c>
      <c r="Q158" s="51">
        <v>29</v>
      </c>
      <c r="R158" s="51">
        <v>16</v>
      </c>
      <c r="S158" s="51">
        <v>131</v>
      </c>
      <c r="T158" s="51">
        <v>22</v>
      </c>
      <c r="U158" s="51">
        <v>13</v>
      </c>
    </row>
    <row r="159" spans="1:21" x14ac:dyDescent="0.25">
      <c r="J159" s="51">
        <f t="shared" ref="J159:U159" si="18">J52+J17</f>
        <v>58</v>
      </c>
      <c r="K159" s="51">
        <f t="shared" si="18"/>
        <v>16</v>
      </c>
      <c r="L159" s="51">
        <f t="shared" si="18"/>
        <v>22</v>
      </c>
      <c r="M159" s="51">
        <f t="shared" si="18"/>
        <v>7</v>
      </c>
      <c r="N159" s="51">
        <f t="shared" si="18"/>
        <v>3</v>
      </c>
      <c r="O159" s="51">
        <f t="shared" si="18"/>
        <v>9</v>
      </c>
      <c r="P159" s="51">
        <f t="shared" si="18"/>
        <v>15</v>
      </c>
      <c r="Q159" s="51">
        <f t="shared" si="18"/>
        <v>9</v>
      </c>
      <c r="R159" s="51">
        <f t="shared" si="18"/>
        <v>0</v>
      </c>
      <c r="S159" s="51">
        <f t="shared" si="18"/>
        <v>1</v>
      </c>
      <c r="T159" s="51">
        <f t="shared" si="18"/>
        <v>3</v>
      </c>
      <c r="U159" s="51">
        <f t="shared" si="18"/>
        <v>1</v>
      </c>
    </row>
    <row r="160" spans="1:21" x14ac:dyDescent="0.25">
      <c r="J160" s="51">
        <f>SUM(J158:J159)</f>
        <v>154</v>
      </c>
      <c r="K160" s="51">
        <f t="shared" ref="K160:U160" si="19">SUM(K158:K159)</f>
        <v>52</v>
      </c>
      <c r="L160" s="51">
        <f t="shared" si="19"/>
        <v>44</v>
      </c>
      <c r="M160" s="51">
        <f t="shared" si="19"/>
        <v>284</v>
      </c>
      <c r="N160" s="51">
        <f t="shared" si="19"/>
        <v>35</v>
      </c>
      <c r="O160" s="51">
        <f t="shared" si="19"/>
        <v>24</v>
      </c>
      <c r="P160" s="51">
        <f t="shared" si="19"/>
        <v>166</v>
      </c>
      <c r="Q160" s="51">
        <f t="shared" si="19"/>
        <v>38</v>
      </c>
      <c r="R160" s="51">
        <f t="shared" si="19"/>
        <v>16</v>
      </c>
      <c r="S160" s="51">
        <f t="shared" si="19"/>
        <v>132</v>
      </c>
      <c r="T160" s="51">
        <f t="shared" si="19"/>
        <v>25</v>
      </c>
      <c r="U160" s="51">
        <f t="shared" si="19"/>
        <v>14</v>
      </c>
    </row>
    <row r="162" spans="10:21" x14ac:dyDescent="0.25">
      <c r="J162" s="51">
        <v>120</v>
      </c>
      <c r="K162" s="51">
        <v>36</v>
      </c>
      <c r="L162" s="51">
        <v>22</v>
      </c>
      <c r="M162" s="51">
        <v>277</v>
      </c>
      <c r="N162" s="51">
        <v>32</v>
      </c>
      <c r="O162" s="51">
        <v>15</v>
      </c>
      <c r="P162" s="51">
        <v>151</v>
      </c>
      <c r="Q162" s="51">
        <v>29</v>
      </c>
      <c r="R162" s="51">
        <v>16</v>
      </c>
      <c r="S162" s="51">
        <v>131</v>
      </c>
      <c r="T162" s="51">
        <v>22</v>
      </c>
      <c r="U162" s="51">
        <v>13</v>
      </c>
    </row>
    <row r="179" spans="1:21" x14ac:dyDescent="0.25">
      <c r="I179" s="57"/>
    </row>
    <row r="181" spans="1:21" x14ac:dyDescent="0.25">
      <c r="H181" s="38"/>
    </row>
    <row r="182" spans="1:21" ht="30" x14ac:dyDescent="0.25">
      <c r="A182" s="53">
        <v>3</v>
      </c>
      <c r="B182" s="36" t="s">
        <v>19</v>
      </c>
      <c r="C182" s="35" t="s">
        <v>20</v>
      </c>
      <c r="D182" s="36" t="s">
        <v>21</v>
      </c>
      <c r="E182" s="36"/>
      <c r="F182" s="36"/>
      <c r="G182" s="37"/>
      <c r="H182" s="38">
        <f>H183+H185+H187+H189+H191+H193+H195+H197+H199+H201+H203+H205+H207</f>
        <v>8967284.9600000009</v>
      </c>
      <c r="I182" s="36" t="s">
        <v>22</v>
      </c>
      <c r="J182" s="46">
        <v>2</v>
      </c>
      <c r="K182" s="46">
        <v>1</v>
      </c>
      <c r="L182" s="46">
        <v>1</v>
      </c>
      <c r="M182" s="46">
        <v>4</v>
      </c>
      <c r="N182" s="46">
        <v>2</v>
      </c>
      <c r="O182" s="46">
        <v>2</v>
      </c>
      <c r="P182" s="46">
        <v>4</v>
      </c>
      <c r="Q182" s="46">
        <v>1</v>
      </c>
      <c r="R182" s="46">
        <v>1</v>
      </c>
      <c r="S182" s="46">
        <v>2</v>
      </c>
      <c r="T182" s="46">
        <v>1</v>
      </c>
      <c r="U182" s="46">
        <v>1</v>
      </c>
    </row>
    <row r="183" spans="1:21" ht="30" x14ac:dyDescent="0.25">
      <c r="A183" s="53">
        <v>4</v>
      </c>
      <c r="B183" s="40" t="s">
        <v>19</v>
      </c>
      <c r="C183" s="39" t="s">
        <v>37</v>
      </c>
      <c r="D183" s="40" t="s">
        <v>25</v>
      </c>
      <c r="E183" s="40"/>
      <c r="F183" s="40"/>
      <c r="G183" s="41"/>
      <c r="H183" s="42">
        <v>250000</v>
      </c>
      <c r="I183" s="40" t="s">
        <v>22</v>
      </c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 x14ac:dyDescent="0.25">
      <c r="A184" s="29">
        <v>5</v>
      </c>
      <c r="B184" s="26"/>
      <c r="C184" s="45" t="s">
        <v>20</v>
      </c>
      <c r="D184" s="26"/>
      <c r="E184" s="30">
        <v>2</v>
      </c>
      <c r="F184" s="26" t="s">
        <v>96</v>
      </c>
      <c r="G184" s="31">
        <v>125000</v>
      </c>
      <c r="H184" s="31">
        <v>250000</v>
      </c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ht="30" x14ac:dyDescent="0.25">
      <c r="A185" s="53">
        <v>6</v>
      </c>
      <c r="B185" s="40" t="s">
        <v>19</v>
      </c>
      <c r="C185" s="39" t="s">
        <v>31</v>
      </c>
      <c r="D185" s="40" t="s">
        <v>25</v>
      </c>
      <c r="E185" s="40"/>
      <c r="F185" s="40"/>
      <c r="G185" s="41"/>
      <c r="H185" s="42">
        <v>1776555</v>
      </c>
      <c r="I185" s="40" t="s">
        <v>22</v>
      </c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1:21" x14ac:dyDescent="0.25">
      <c r="A186" s="29">
        <v>7</v>
      </c>
      <c r="B186" s="26"/>
      <c r="C186" s="45" t="s">
        <v>97</v>
      </c>
      <c r="D186" s="26"/>
      <c r="E186" s="30">
        <v>2</v>
      </c>
      <c r="F186" s="26" t="s">
        <v>84</v>
      </c>
      <c r="G186" s="31">
        <v>888277.5</v>
      </c>
      <c r="H186" s="31">
        <v>1776555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ht="30" x14ac:dyDescent="0.25">
      <c r="A187" s="53">
        <v>8</v>
      </c>
      <c r="B187" s="40" t="s">
        <v>19</v>
      </c>
      <c r="C187" s="39" t="s">
        <v>28</v>
      </c>
      <c r="D187" s="40" t="s">
        <v>25</v>
      </c>
      <c r="E187" s="40"/>
      <c r="F187" s="40"/>
      <c r="G187" s="41"/>
      <c r="H187" s="42">
        <v>100000</v>
      </c>
      <c r="I187" s="40" t="s">
        <v>22</v>
      </c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 x14ac:dyDescent="0.25">
      <c r="A188" s="29">
        <v>9</v>
      </c>
      <c r="B188" s="26"/>
      <c r="C188" s="45" t="s">
        <v>98</v>
      </c>
      <c r="D188" s="26"/>
      <c r="E188" s="30">
        <v>1</v>
      </c>
      <c r="F188" s="26" t="s">
        <v>96</v>
      </c>
      <c r="G188" s="31">
        <v>100000</v>
      </c>
      <c r="H188" s="31">
        <v>100000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ht="30" x14ac:dyDescent="0.25">
      <c r="A189" s="53">
        <v>10</v>
      </c>
      <c r="B189" s="40" t="s">
        <v>19</v>
      </c>
      <c r="C189" s="39" t="s">
        <v>27</v>
      </c>
      <c r="D189" s="40" t="s">
        <v>25</v>
      </c>
      <c r="E189" s="40"/>
      <c r="F189" s="40"/>
      <c r="G189" s="41"/>
      <c r="H189" s="42">
        <v>639999.96</v>
      </c>
      <c r="I189" s="40" t="s">
        <v>22</v>
      </c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 x14ac:dyDescent="0.25">
      <c r="A190" s="29">
        <v>11</v>
      </c>
      <c r="B190" s="26"/>
      <c r="C190" s="45" t="s">
        <v>20</v>
      </c>
      <c r="D190" s="26"/>
      <c r="E190" s="30">
        <v>12</v>
      </c>
      <c r="F190" s="26" t="s">
        <v>96</v>
      </c>
      <c r="G190" s="31">
        <v>53333.33</v>
      </c>
      <c r="H190" s="31">
        <v>639999.96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 ht="30" x14ac:dyDescent="0.25">
      <c r="A191" s="53">
        <v>12</v>
      </c>
      <c r="B191" s="40" t="s">
        <v>19</v>
      </c>
      <c r="C191" s="39" t="s">
        <v>33</v>
      </c>
      <c r="D191" s="40" t="s">
        <v>25</v>
      </c>
      <c r="E191" s="40"/>
      <c r="F191" s="40"/>
      <c r="G191" s="41"/>
      <c r="H191" s="42">
        <v>186000</v>
      </c>
      <c r="I191" s="40" t="s">
        <v>22</v>
      </c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 x14ac:dyDescent="0.25">
      <c r="A192" s="29">
        <v>13</v>
      </c>
      <c r="B192" s="26"/>
      <c r="C192" s="45" t="s">
        <v>20</v>
      </c>
      <c r="D192" s="26"/>
      <c r="E192" s="30">
        <v>1</v>
      </c>
      <c r="F192" s="26" t="s">
        <v>96</v>
      </c>
      <c r="G192" s="31">
        <v>186000</v>
      </c>
      <c r="H192" s="31">
        <v>186000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ht="30" x14ac:dyDescent="0.25">
      <c r="A193" s="53">
        <v>14</v>
      </c>
      <c r="B193" s="40" t="s">
        <v>19</v>
      </c>
      <c r="C193" s="39" t="s">
        <v>32</v>
      </c>
      <c r="D193" s="40" t="s">
        <v>25</v>
      </c>
      <c r="E193" s="40"/>
      <c r="F193" s="40"/>
      <c r="G193" s="41"/>
      <c r="H193" s="42">
        <v>440000</v>
      </c>
      <c r="I193" s="40" t="s">
        <v>22</v>
      </c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 x14ac:dyDescent="0.25">
      <c r="A194" s="29">
        <v>15</v>
      </c>
      <c r="B194" s="26"/>
      <c r="C194" s="45" t="s">
        <v>99</v>
      </c>
      <c r="D194" s="26"/>
      <c r="E194" s="30">
        <v>4</v>
      </c>
      <c r="F194" s="26" t="s">
        <v>84</v>
      </c>
      <c r="G194" s="31">
        <v>110000</v>
      </c>
      <c r="H194" s="31">
        <v>440000</v>
      </c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ht="30" x14ac:dyDescent="0.25">
      <c r="A195" s="53">
        <v>16</v>
      </c>
      <c r="B195" s="40" t="s">
        <v>19</v>
      </c>
      <c r="C195" s="39" t="s">
        <v>36</v>
      </c>
      <c r="D195" s="40" t="s">
        <v>25</v>
      </c>
      <c r="E195" s="40"/>
      <c r="F195" s="40"/>
      <c r="G195" s="41"/>
      <c r="H195" s="42">
        <v>445530</v>
      </c>
      <c r="I195" s="40" t="s">
        <v>22</v>
      </c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 x14ac:dyDescent="0.25">
      <c r="A196" s="29">
        <v>17</v>
      </c>
      <c r="B196" s="26"/>
      <c r="C196" s="45" t="s">
        <v>99</v>
      </c>
      <c r="D196" s="26"/>
      <c r="E196" s="30">
        <v>2</v>
      </c>
      <c r="F196" s="26" t="s">
        <v>84</v>
      </c>
      <c r="G196" s="31">
        <v>222765</v>
      </c>
      <c r="H196" s="31">
        <v>445530</v>
      </c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ht="30" x14ac:dyDescent="0.25">
      <c r="A197" s="53">
        <v>18</v>
      </c>
      <c r="B197" s="40" t="s">
        <v>19</v>
      </c>
      <c r="C197" s="39" t="s">
        <v>24</v>
      </c>
      <c r="D197" s="40" t="s">
        <v>25</v>
      </c>
      <c r="E197" s="40"/>
      <c r="F197" s="40"/>
      <c r="G197" s="41"/>
      <c r="H197" s="42">
        <v>259000</v>
      </c>
      <c r="I197" s="40" t="s">
        <v>22</v>
      </c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1:21" x14ac:dyDescent="0.25">
      <c r="A198" s="29">
        <v>19</v>
      </c>
      <c r="B198" s="26"/>
      <c r="C198" s="45" t="s">
        <v>20</v>
      </c>
      <c r="D198" s="26"/>
      <c r="E198" s="30">
        <v>4</v>
      </c>
      <c r="F198" s="26" t="s">
        <v>96</v>
      </c>
      <c r="G198" s="31">
        <v>64750</v>
      </c>
      <c r="H198" s="31">
        <v>259000</v>
      </c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ht="30" x14ac:dyDescent="0.25">
      <c r="A199" s="53">
        <v>20</v>
      </c>
      <c r="B199" s="40" t="s">
        <v>19</v>
      </c>
      <c r="C199" s="39" t="s">
        <v>29</v>
      </c>
      <c r="D199" s="40" t="s">
        <v>25</v>
      </c>
      <c r="E199" s="40"/>
      <c r="F199" s="40"/>
      <c r="G199" s="41"/>
      <c r="H199" s="42">
        <v>457500</v>
      </c>
      <c r="I199" s="40" t="s">
        <v>22</v>
      </c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 x14ac:dyDescent="0.25">
      <c r="A200" s="29">
        <v>21</v>
      </c>
      <c r="B200" s="26"/>
      <c r="C200" s="45" t="s">
        <v>20</v>
      </c>
      <c r="D200" s="26"/>
      <c r="E200" s="30">
        <v>2</v>
      </c>
      <c r="F200" s="26" t="s">
        <v>96</v>
      </c>
      <c r="G200" s="31">
        <v>228750</v>
      </c>
      <c r="H200" s="31">
        <v>457500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 ht="30" x14ac:dyDescent="0.25">
      <c r="A201" s="53">
        <v>22</v>
      </c>
      <c r="B201" s="40" t="s">
        <v>19</v>
      </c>
      <c r="C201" s="39" t="s">
        <v>35</v>
      </c>
      <c r="D201" s="40" t="s">
        <v>25</v>
      </c>
      <c r="E201" s="40"/>
      <c r="F201" s="40"/>
      <c r="G201" s="41"/>
      <c r="H201" s="42">
        <v>78000</v>
      </c>
      <c r="I201" s="40" t="s">
        <v>22</v>
      </c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1:21" x14ac:dyDescent="0.25">
      <c r="A202" s="29">
        <v>23</v>
      </c>
      <c r="B202" s="26"/>
      <c r="C202" s="45" t="s">
        <v>20</v>
      </c>
      <c r="D202" s="26"/>
      <c r="E202" s="30">
        <v>3</v>
      </c>
      <c r="F202" s="26" t="s">
        <v>96</v>
      </c>
      <c r="G202" s="31">
        <v>26000</v>
      </c>
      <c r="H202" s="31">
        <v>78000</v>
      </c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 ht="30" x14ac:dyDescent="0.25">
      <c r="A203" s="53">
        <v>24</v>
      </c>
      <c r="B203" s="40" t="s">
        <v>19</v>
      </c>
      <c r="C203" s="39" t="s">
        <v>30</v>
      </c>
      <c r="D203" s="40" t="s">
        <v>25</v>
      </c>
      <c r="E203" s="40"/>
      <c r="F203" s="40"/>
      <c r="G203" s="41"/>
      <c r="H203" s="42">
        <v>226700</v>
      </c>
      <c r="I203" s="40" t="s">
        <v>22</v>
      </c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1:21" x14ac:dyDescent="0.25">
      <c r="A204" s="29">
        <v>25</v>
      </c>
      <c r="B204" s="26"/>
      <c r="C204" s="45" t="s">
        <v>20</v>
      </c>
      <c r="D204" s="26"/>
      <c r="E204" s="30">
        <v>1</v>
      </c>
      <c r="F204" s="26" t="s">
        <v>96</v>
      </c>
      <c r="G204" s="31">
        <v>226700</v>
      </c>
      <c r="H204" s="31">
        <v>226700</v>
      </c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1:21" ht="30" x14ac:dyDescent="0.25">
      <c r="A205" s="53">
        <v>26</v>
      </c>
      <c r="B205" s="40" t="s">
        <v>19</v>
      </c>
      <c r="C205" s="39" t="s">
        <v>38</v>
      </c>
      <c r="D205" s="40" t="s">
        <v>25</v>
      </c>
      <c r="E205" s="40"/>
      <c r="F205" s="40"/>
      <c r="G205" s="41"/>
      <c r="H205" s="42">
        <v>4000000</v>
      </c>
      <c r="I205" s="40" t="s">
        <v>22</v>
      </c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1:21" x14ac:dyDescent="0.25">
      <c r="A206" s="29">
        <v>27</v>
      </c>
      <c r="B206" s="26"/>
      <c r="C206" s="45" t="s">
        <v>20</v>
      </c>
      <c r="D206" s="26"/>
      <c r="E206" s="30">
        <v>4</v>
      </c>
      <c r="F206" s="26" t="s">
        <v>96</v>
      </c>
      <c r="G206" s="31">
        <v>1000000</v>
      </c>
      <c r="H206" s="31">
        <v>4000000</v>
      </c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1:21" ht="30" x14ac:dyDescent="0.25">
      <c r="A207" s="53">
        <v>26</v>
      </c>
      <c r="B207" s="40" t="s">
        <v>19</v>
      </c>
      <c r="C207" s="39" t="s">
        <v>100</v>
      </c>
      <c r="D207" s="40" t="s">
        <v>25</v>
      </c>
      <c r="E207" s="40"/>
      <c r="F207" s="40"/>
      <c r="G207" s="41"/>
      <c r="H207" s="42">
        <f>H208</f>
        <v>108000</v>
      </c>
      <c r="I207" s="40" t="s">
        <v>22</v>
      </c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1:21" x14ac:dyDescent="0.25">
      <c r="A208" s="29">
        <v>509</v>
      </c>
      <c r="B208" s="26"/>
      <c r="C208" s="45" t="s">
        <v>20</v>
      </c>
      <c r="D208" s="26"/>
      <c r="E208" s="30">
        <v>3</v>
      </c>
      <c r="F208" s="26" t="s">
        <v>84</v>
      </c>
      <c r="G208" s="31">
        <v>36000</v>
      </c>
      <c r="H208" s="31">
        <f>G208*E208</f>
        <v>108000</v>
      </c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11" spans="1:21" ht="30" x14ac:dyDescent="0.25">
      <c r="A211" s="28">
        <v>2402</v>
      </c>
      <c r="B211" s="36" t="s">
        <v>42</v>
      </c>
      <c r="C211" s="35" t="s">
        <v>43</v>
      </c>
      <c r="D211" s="36" t="s">
        <v>21</v>
      </c>
      <c r="E211" s="36"/>
      <c r="F211" s="36"/>
      <c r="G211" s="37"/>
      <c r="H211" s="38">
        <f>H212</f>
        <v>10000998.039999999</v>
      </c>
      <c r="I211" s="36" t="s">
        <v>39</v>
      </c>
      <c r="J211" s="46">
        <f>SUM(J212:J222)</f>
        <v>4</v>
      </c>
      <c r="K211" s="46">
        <f t="shared" ref="K211:U211" si="20">SUM(K212:K222)</f>
        <v>0</v>
      </c>
      <c r="L211" s="46">
        <f t="shared" si="20"/>
        <v>0</v>
      </c>
      <c r="M211" s="46">
        <f t="shared" si="20"/>
        <v>4</v>
      </c>
      <c r="N211" s="46">
        <f t="shared" si="20"/>
        <v>0</v>
      </c>
      <c r="O211" s="46">
        <f t="shared" si="20"/>
        <v>0</v>
      </c>
      <c r="P211" s="46">
        <f t="shared" si="20"/>
        <v>4</v>
      </c>
      <c r="Q211" s="46">
        <f t="shared" si="20"/>
        <v>0</v>
      </c>
      <c r="R211" s="46">
        <f t="shared" si="20"/>
        <v>0</v>
      </c>
      <c r="S211" s="46">
        <f t="shared" si="20"/>
        <v>4</v>
      </c>
      <c r="T211" s="46">
        <f t="shared" si="20"/>
        <v>0</v>
      </c>
      <c r="U211" s="46">
        <f t="shared" si="20"/>
        <v>0</v>
      </c>
    </row>
    <row r="212" spans="1:21" ht="30" x14ac:dyDescent="0.25">
      <c r="A212" s="28">
        <v>2403</v>
      </c>
      <c r="B212" s="40" t="s">
        <v>42</v>
      </c>
      <c r="C212" s="39" t="s">
        <v>44</v>
      </c>
      <c r="D212" s="40" t="s">
        <v>25</v>
      </c>
      <c r="E212" s="40"/>
      <c r="F212" s="40"/>
      <c r="G212" s="41"/>
      <c r="H212" s="42">
        <v>10000998.039999999</v>
      </c>
      <c r="I212" s="40" t="s">
        <v>39</v>
      </c>
      <c r="J212" s="43">
        <v>4</v>
      </c>
      <c r="K212" s="43"/>
      <c r="L212" s="43"/>
      <c r="M212" s="43">
        <v>4</v>
      </c>
      <c r="N212" s="43"/>
      <c r="O212" s="43"/>
      <c r="P212" s="43">
        <v>4</v>
      </c>
      <c r="Q212" s="43"/>
      <c r="R212" s="43"/>
      <c r="S212" s="43">
        <v>4</v>
      </c>
      <c r="T212" s="43"/>
      <c r="U212" s="43"/>
    </row>
    <row r="213" spans="1:21" x14ac:dyDescent="0.25">
      <c r="A213" s="28">
        <v>2404</v>
      </c>
      <c r="B213" s="26"/>
      <c r="C213" s="45" t="s">
        <v>44</v>
      </c>
      <c r="D213" s="26"/>
      <c r="E213" s="30"/>
      <c r="F213" s="26"/>
      <c r="G213" s="31"/>
      <c r="H213" s="31">
        <f>SUM(H214:H222)</f>
        <v>10000998.039999999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1:21" s="48" customFormat="1" x14ac:dyDescent="0.25">
      <c r="A214" s="28">
        <v>2405</v>
      </c>
      <c r="B214" s="26"/>
      <c r="C214" s="45" t="s">
        <v>85</v>
      </c>
      <c r="D214" s="26"/>
      <c r="E214" s="26">
        <v>80</v>
      </c>
      <c r="F214" s="26" t="s">
        <v>81</v>
      </c>
      <c r="G214" s="47">
        <v>11250</v>
      </c>
      <c r="H214" s="47">
        <f>E214*G214</f>
        <v>900000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s="48" customFormat="1" x14ac:dyDescent="0.25">
      <c r="A215" s="28">
        <v>2406</v>
      </c>
      <c r="B215" s="26"/>
      <c r="C215" s="45" t="s">
        <v>86</v>
      </c>
      <c r="D215" s="26"/>
      <c r="E215" s="26">
        <v>85</v>
      </c>
      <c r="F215" s="26" t="s">
        <v>81</v>
      </c>
      <c r="G215" s="47">
        <v>7527.25</v>
      </c>
      <c r="H215" s="47">
        <f t="shared" ref="H215:H221" si="21">E215*G215</f>
        <v>639816.25</v>
      </c>
      <c r="I215" s="52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s="48" customFormat="1" x14ac:dyDescent="0.25">
      <c r="A216" s="28">
        <v>2407</v>
      </c>
      <c r="B216" s="26"/>
      <c r="C216" s="45" t="s">
        <v>87</v>
      </c>
      <c r="D216" s="26"/>
      <c r="E216" s="26">
        <v>95</v>
      </c>
      <c r="F216" s="26" t="s">
        <v>81</v>
      </c>
      <c r="G216" s="47">
        <v>5253.75</v>
      </c>
      <c r="H216" s="47">
        <f t="shared" si="21"/>
        <v>499106.25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s="48" customFormat="1" x14ac:dyDescent="0.25">
      <c r="A217" s="28">
        <v>2408</v>
      </c>
      <c r="B217" s="26"/>
      <c r="C217" s="45" t="s">
        <v>88</v>
      </c>
      <c r="D217" s="26"/>
      <c r="E217" s="26">
        <v>100</v>
      </c>
      <c r="F217" s="26" t="s">
        <v>81</v>
      </c>
      <c r="G217" s="47">
        <v>3375</v>
      </c>
      <c r="H217" s="47">
        <f t="shared" si="21"/>
        <v>337500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s="48" customFormat="1" x14ac:dyDescent="0.25">
      <c r="A218" s="28">
        <v>2409</v>
      </c>
      <c r="B218" s="26"/>
      <c r="C218" s="45" t="s">
        <v>89</v>
      </c>
      <c r="D218" s="26"/>
      <c r="E218" s="26">
        <v>60</v>
      </c>
      <c r="F218" s="26" t="s">
        <v>81</v>
      </c>
      <c r="G218" s="47">
        <v>22500</v>
      </c>
      <c r="H218" s="47">
        <f t="shared" si="21"/>
        <v>1350000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s="48" customFormat="1" x14ac:dyDescent="0.25">
      <c r="A219" s="28">
        <v>2410</v>
      </c>
      <c r="B219" s="26"/>
      <c r="C219" s="45" t="s">
        <v>90</v>
      </c>
      <c r="D219" s="26"/>
      <c r="E219" s="26">
        <v>50</v>
      </c>
      <c r="F219" s="26" t="s">
        <v>81</v>
      </c>
      <c r="G219" s="47">
        <v>60000</v>
      </c>
      <c r="H219" s="47">
        <f t="shared" si="21"/>
        <v>3000000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s="48" customFormat="1" x14ac:dyDescent="0.25">
      <c r="A220" s="28">
        <v>2411</v>
      </c>
      <c r="B220" s="26"/>
      <c r="C220" s="45" t="s">
        <v>91</v>
      </c>
      <c r="D220" s="26"/>
      <c r="E220" s="26">
        <v>60</v>
      </c>
      <c r="F220" s="26" t="s">
        <v>81</v>
      </c>
      <c r="G220" s="47">
        <v>52500</v>
      </c>
      <c r="H220" s="47">
        <f t="shared" si="21"/>
        <v>3150000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s="48" customFormat="1" x14ac:dyDescent="0.25">
      <c r="A221" s="28">
        <v>2412</v>
      </c>
      <c r="B221" s="26"/>
      <c r="C221" s="45" t="s">
        <v>92</v>
      </c>
      <c r="D221" s="26"/>
      <c r="E221" s="26">
        <v>80</v>
      </c>
      <c r="F221" s="26" t="s">
        <v>81</v>
      </c>
      <c r="G221" s="47">
        <v>1557.19425</v>
      </c>
      <c r="H221" s="47">
        <f t="shared" si="21"/>
        <v>124575.54000000001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x14ac:dyDescent="0.25">
      <c r="A222" s="28">
        <v>2413</v>
      </c>
      <c r="B222" s="26"/>
      <c r="C222" s="45"/>
      <c r="D222" s="26"/>
      <c r="E222" s="30"/>
      <c r="F222" s="26"/>
      <c r="G222" s="31"/>
      <c r="H222" s="31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1:21" x14ac:dyDescent="0.25">
      <c r="J223" s="25"/>
    </row>
    <row r="225" spans="2:21" ht="30" x14ac:dyDescent="0.25">
      <c r="B225" s="122">
        <v>10483029.780000001</v>
      </c>
      <c r="C225" s="114">
        <v>10483029.780000001</v>
      </c>
      <c r="E225" s="115">
        <f>B225-C225</f>
        <v>0</v>
      </c>
      <c r="F225" s="116" t="e">
        <f>C225-H225</f>
        <v>#REF!</v>
      </c>
      <c r="H225" s="55" t="e">
        <f>#REF!+#REF!</f>
        <v>#REF!</v>
      </c>
      <c r="I225" s="40" t="s">
        <v>40</v>
      </c>
      <c r="J225" s="56" t="e">
        <f>#REF!+#REF!</f>
        <v>#REF!</v>
      </c>
      <c r="K225" s="56" t="e">
        <f>#REF!+#REF!</f>
        <v>#REF!</v>
      </c>
      <c r="L225" s="56" t="e">
        <f>#REF!+#REF!</f>
        <v>#REF!</v>
      </c>
      <c r="M225" s="56" t="e">
        <f>#REF!+#REF!</f>
        <v>#REF!</v>
      </c>
      <c r="N225" s="56" t="e">
        <f>#REF!+#REF!</f>
        <v>#REF!</v>
      </c>
      <c r="O225" s="56" t="e">
        <f>#REF!+#REF!</f>
        <v>#REF!</v>
      </c>
      <c r="P225" s="56" t="e">
        <f>#REF!+#REF!</f>
        <v>#REF!</v>
      </c>
      <c r="Q225" s="56" t="e">
        <f>#REF!+#REF!</f>
        <v>#REF!</v>
      </c>
      <c r="R225" s="56" t="e">
        <f>#REF!+#REF!</f>
        <v>#REF!</v>
      </c>
      <c r="S225" s="56" t="e">
        <f>#REF!+#REF!</f>
        <v>#REF!</v>
      </c>
      <c r="T225" s="56" t="e">
        <f>#REF!+#REF!</f>
        <v>#REF!</v>
      </c>
      <c r="U225" s="56" t="e">
        <f>#REF!+#REF!</f>
        <v>#REF!</v>
      </c>
    </row>
    <row r="226" spans="2:21" ht="30" x14ac:dyDescent="0.25">
      <c r="B226" s="122">
        <v>32472000</v>
      </c>
      <c r="C226" s="114">
        <v>32472000</v>
      </c>
      <c r="E226" s="115">
        <f t="shared" ref="E226:E227" si="22">B226-C226</f>
        <v>0</v>
      </c>
      <c r="F226" s="116" t="e">
        <f t="shared" ref="F226:F227" si="23">C226-H226</f>
        <v>#REF!</v>
      </c>
      <c r="H226" s="55" t="e">
        <f>#REF!+#REF!</f>
        <v>#REF!</v>
      </c>
      <c r="I226" s="40" t="s">
        <v>41</v>
      </c>
      <c r="J226" s="56" t="e">
        <f>#REF!+#REF!</f>
        <v>#REF!</v>
      </c>
      <c r="K226" s="56" t="e">
        <f>#REF!+#REF!</f>
        <v>#REF!</v>
      </c>
      <c r="L226" s="56" t="e">
        <f>#REF!+#REF!</f>
        <v>#REF!</v>
      </c>
      <c r="M226" s="56" t="e">
        <f>#REF!+#REF!</f>
        <v>#REF!</v>
      </c>
      <c r="N226" s="56" t="e">
        <f>#REF!+#REF!</f>
        <v>#REF!</v>
      </c>
      <c r="O226" s="56" t="e">
        <f>#REF!+#REF!</f>
        <v>#REF!</v>
      </c>
      <c r="P226" s="56" t="e">
        <f>#REF!+#REF!</f>
        <v>#REF!</v>
      </c>
      <c r="Q226" s="56" t="e">
        <f>#REF!+#REF!</f>
        <v>#REF!</v>
      </c>
      <c r="R226" s="56" t="e">
        <f>#REF!+#REF!</f>
        <v>#REF!</v>
      </c>
      <c r="S226" s="56" t="e">
        <f>#REF!+#REF!</f>
        <v>#REF!</v>
      </c>
      <c r="T226" s="56" t="e">
        <f>#REF!+#REF!</f>
        <v>#REF!</v>
      </c>
      <c r="U226" s="56" t="e">
        <f>#REF!+#REF!</f>
        <v>#REF!</v>
      </c>
    </row>
    <row r="227" spans="2:21" ht="30" x14ac:dyDescent="0.25">
      <c r="B227" s="122">
        <v>185977570.25999999</v>
      </c>
      <c r="C227" s="114">
        <v>185977570.25999999</v>
      </c>
      <c r="E227" s="115">
        <f t="shared" si="22"/>
        <v>0</v>
      </c>
      <c r="F227" s="116" t="e">
        <f t="shared" si="23"/>
        <v>#REF!</v>
      </c>
      <c r="H227" s="55" t="e">
        <f>#REF!+#REF!+#REF!+#REF!+#REF!+#REF!+#REF!+#REF!+#REF!+#REF!+#REF!+#REF!+#REF!+#REF!+#REF!+#REF!+#REF!+#REF!</f>
        <v>#REF!</v>
      </c>
      <c r="I227" s="40" t="s">
        <v>39</v>
      </c>
      <c r="J227" s="56" t="e">
        <f>#REF!+#REF!+#REF!+#REF!+#REF!+#REF!+#REF!+#REF!+#REF!+#REF!+#REF!+#REF!+#REF!+#REF!+#REF!+#REF!+#REF!+#REF!</f>
        <v>#REF!</v>
      </c>
      <c r="K227" s="56" t="e">
        <f>#REF!+#REF!+#REF!+#REF!+#REF!+#REF!+#REF!+#REF!+#REF!+#REF!+#REF!+#REF!+#REF!+#REF!+#REF!+#REF!+#REF!+#REF!</f>
        <v>#REF!</v>
      </c>
      <c r="L227" s="56" t="e">
        <f>#REF!+#REF!+#REF!+#REF!+#REF!+#REF!+#REF!+#REF!+#REF!+#REF!+#REF!+#REF!+#REF!+#REF!+#REF!+#REF!+#REF!</f>
        <v>#REF!</v>
      </c>
      <c r="M227" s="56" t="e">
        <f>#REF!+#REF!+#REF!+#REF!+#REF!+#REF!+#REF!+#REF!+#REF!+#REF!+#REF!+#REF!+#REF!+#REF!+#REF!+#REF!+#REF!</f>
        <v>#REF!</v>
      </c>
      <c r="N227" s="56" t="e">
        <f>#REF!+#REF!+#REF!+#REF!+#REF!+#REF!+#REF!+#REF!+#REF!+#REF!+#REF!+#REF!+#REF!+#REF!+#REF!+#REF!+#REF!</f>
        <v>#REF!</v>
      </c>
      <c r="O227" s="56" t="e">
        <f>#REF!+#REF!+#REF!+#REF!+#REF!+#REF!+#REF!+#REF!+#REF!+#REF!+#REF!+#REF!+#REF!+#REF!+#REF!+#REF!+#REF!</f>
        <v>#REF!</v>
      </c>
      <c r="P227" s="56" t="e">
        <f>#REF!+#REF!+#REF!+#REF!+#REF!+#REF!+#REF!+#REF!+#REF!+#REF!+#REF!+#REF!+#REF!+#REF!+#REF!+#REF!+#REF!</f>
        <v>#REF!</v>
      </c>
      <c r="Q227" s="56" t="e">
        <f>#REF!+#REF!+#REF!+#REF!+#REF!+#REF!+#REF!+#REF!+#REF!+#REF!+#REF!+#REF!+#REF!+#REF!+#REF!+#REF!+#REF!+#REF!</f>
        <v>#REF!</v>
      </c>
      <c r="R227" s="56" t="e">
        <f>#REF!+#REF!+#REF!+#REF!+#REF!+#REF!+#REF!+#REF!+#REF!+#REF!+#REF!+#REF!+#REF!+#REF!+#REF!+#REF!+#REF!</f>
        <v>#REF!</v>
      </c>
      <c r="S227" s="56" t="e">
        <f>#REF!+#REF!+#REF!+#REF!+#REF!+#REF!+#REF!+#REF!+#REF!+#REF!+#REF!+#REF!+#REF!+#REF!+#REF!+#REF!+#REF!</f>
        <v>#REF!</v>
      </c>
      <c r="T227" s="56" t="e">
        <f>#REF!+#REF!+#REF!+#REF!+#REF!+#REF!+#REF!+#REF!+#REF!+#REF!+#REF!+#REF!+#REF!+#REF!+#REF!+#REF!+#REF!</f>
        <v>#REF!</v>
      </c>
      <c r="U227" s="56" t="e">
        <f>#REF!+#REF!+#REF!+#REF!+#REF!+#REF!+#REF!+#REF!+#REF!+#REF!+#REF!+#REF!+#REF!+#REF!+#REF!+#REF!+#REF!</f>
        <v>#REF!</v>
      </c>
    </row>
    <row r="228" spans="2:21" ht="15" x14ac:dyDescent="0.25">
      <c r="C228" s="117">
        <f>SUM(C225:C227)</f>
        <v>228932600.03999999</v>
      </c>
      <c r="J228" s="51" t="e">
        <f>SUBTOTAL(9,J225:J227)</f>
        <v>#REF!</v>
      </c>
      <c r="K228" s="51" t="e">
        <f t="shared" ref="K228:U228" si="24">SUBTOTAL(9,K225:K227)</f>
        <v>#REF!</v>
      </c>
      <c r="L228" s="51" t="e">
        <f t="shared" si="24"/>
        <v>#REF!</v>
      </c>
      <c r="M228" s="51" t="e">
        <f t="shared" si="24"/>
        <v>#REF!</v>
      </c>
      <c r="N228" s="51" t="e">
        <f t="shared" si="24"/>
        <v>#REF!</v>
      </c>
      <c r="O228" s="51" t="e">
        <f t="shared" si="24"/>
        <v>#REF!</v>
      </c>
      <c r="P228" s="51" t="e">
        <f t="shared" si="24"/>
        <v>#REF!</v>
      </c>
      <c r="Q228" s="51" t="e">
        <f t="shared" si="24"/>
        <v>#REF!</v>
      </c>
      <c r="R228" s="51" t="e">
        <f t="shared" si="24"/>
        <v>#REF!</v>
      </c>
      <c r="S228" s="51" t="e">
        <f t="shared" si="24"/>
        <v>#REF!</v>
      </c>
      <c r="T228" s="51" t="e">
        <f t="shared" si="24"/>
        <v>#REF!</v>
      </c>
      <c r="U228" s="51" t="e">
        <f t="shared" si="24"/>
        <v>#REF!</v>
      </c>
    </row>
    <row r="232" spans="2:21" x14ac:dyDescent="0.25">
      <c r="J232" s="56" t="e">
        <f>#REF!+#REF!+#REF!+#REF!+#REF!+#REF!+#REF!+#REF!+#REF!+#REF!+#REF!+#REF!+#REF!+#REF!+#REF!+#REF!+#REF!+#REF!+#REF!+#REF!+#REF!+#REF!+J17</f>
        <v>#REF!</v>
      </c>
      <c r="K232" s="56" t="e">
        <f>#REF!+#REF!+#REF!+#REF!+#REF!+#REF!+#REF!+#REF!+#REF!+#REF!+#REF!+#REF!+#REF!+#REF!+#REF!+#REF!+#REF!+#REF!+#REF!+#REF!+#REF!+#REF!+K17</f>
        <v>#REF!</v>
      </c>
      <c r="L232" s="56" t="e">
        <f>#REF!+#REF!+#REF!+#REF!+#REF!+#REF!+#REF!+#REF!+#REF!+#REF!+#REF!+#REF!+#REF!+#REF!+#REF!+#REF!+#REF!+#REF!+#REF!+#REF!+#REF!+#REF!+L17</f>
        <v>#REF!</v>
      </c>
      <c r="M232" s="56" t="e">
        <f>#REF!+#REF!+#REF!+#REF!+#REF!+#REF!+#REF!+#REF!+#REF!+#REF!+#REF!+#REF!+#REF!+#REF!+#REF!+#REF!+#REF!+#REF!+#REF!+#REF!+#REF!+#REF!+M17</f>
        <v>#REF!</v>
      </c>
      <c r="N232" s="56" t="e">
        <f>#REF!+#REF!+#REF!+#REF!+#REF!+#REF!+#REF!+#REF!+#REF!+#REF!+#REF!+#REF!+#REF!+#REF!+#REF!+#REF!+#REF!+#REF!+#REF!+#REF!+#REF!+#REF!+N17</f>
        <v>#REF!</v>
      </c>
      <c r="O232" s="56" t="e">
        <f>#REF!+#REF!+#REF!+#REF!+#REF!+#REF!+#REF!+#REF!+#REF!+#REF!+#REF!+#REF!+#REF!+#REF!+#REF!+#REF!+#REF!+#REF!+#REF!+#REF!+#REF!+#REF!+O17</f>
        <v>#REF!</v>
      </c>
      <c r="P232" s="56" t="e">
        <f>#REF!+#REF!+#REF!+#REF!+#REF!+#REF!+#REF!+#REF!+#REF!+#REF!+#REF!+#REF!+#REF!+#REF!+#REF!+#REF!+#REF!+#REF!+#REF!+#REF!+#REF!+#REF!+P17</f>
        <v>#REF!</v>
      </c>
      <c r="Q232" s="56" t="e">
        <f>#REF!+#REF!+#REF!+#REF!+#REF!+#REF!+#REF!+#REF!+#REF!+#REF!+#REF!+#REF!+#REF!+#REF!+#REF!+#REF!+#REF!+#REF!+#REF!+#REF!+#REF!+#REF!+Q17</f>
        <v>#REF!</v>
      </c>
      <c r="R232" s="56" t="e">
        <f>#REF!+#REF!+#REF!+#REF!+#REF!+#REF!+#REF!+#REF!+#REF!+#REF!+#REF!+#REF!+#REF!+#REF!+#REF!+#REF!+#REF!+#REF!+#REF!+#REF!+#REF!+#REF!+R17</f>
        <v>#REF!</v>
      </c>
      <c r="S232" s="56" t="e">
        <f>#REF!+#REF!+#REF!+#REF!+#REF!+#REF!+#REF!+#REF!+#REF!+#REF!+#REF!+#REF!+#REF!+#REF!+#REF!+#REF!+#REF!+#REF!+#REF!+#REF!+#REF!+#REF!+S17</f>
        <v>#REF!</v>
      </c>
      <c r="T232" s="56" t="e">
        <f>#REF!+#REF!+#REF!+#REF!+#REF!+#REF!+#REF!+#REF!+#REF!+#REF!+#REF!+#REF!+#REF!+#REF!+#REF!+#REF!+#REF!+#REF!+#REF!+#REF!+#REF!+#REF!+T17</f>
        <v>#REF!</v>
      </c>
      <c r="U232" s="56" t="e">
        <f>#REF!+#REF!+#REF!+#REF!+#REF!+#REF!+#REF!+#REF!+#REF!+#REF!+#REF!+#REF!+#REF!+#REF!+#REF!+#REF!+#REF!+#REF!+#REF!+#REF!+#REF!+#REF!+U17</f>
        <v>#REF!</v>
      </c>
    </row>
  </sheetData>
  <autoFilter ref="I1:I223" xr:uid="{00000000-0009-0000-0000-000001000000}"/>
  <mergeCells count="19">
    <mergeCell ref="A1:U1"/>
    <mergeCell ref="A6:U7"/>
    <mergeCell ref="A8:U8"/>
    <mergeCell ref="A9:U9"/>
    <mergeCell ref="A10:J10"/>
    <mergeCell ref="K10:U10"/>
    <mergeCell ref="A2:U2"/>
    <mergeCell ref="A3:U3"/>
    <mergeCell ref="A4:U4"/>
    <mergeCell ref="E11:G11"/>
    <mergeCell ref="J11:U11"/>
    <mergeCell ref="E12:G12"/>
    <mergeCell ref="A145:K145"/>
    <mergeCell ref="L145:U145"/>
    <mergeCell ref="C155:D155"/>
    <mergeCell ref="I153:L153"/>
    <mergeCell ref="I154:L154"/>
    <mergeCell ref="I155:L155"/>
    <mergeCell ref="I149:K149"/>
  </mergeCells>
  <pageMargins left="0.43307086614173229" right="0.11811023622047245" top="0.31496062992125984" bottom="0.27559055118110237" header="0.11811023622047245" footer="0.11811023622047245"/>
  <pageSetup paperSize="5" scale="70" orientation="landscape" r:id="rId1"/>
  <rowBreaks count="1" manualBreakCount="1">
    <brk id="181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6"/>
  <sheetViews>
    <sheetView zoomScale="90" zoomScaleNormal="90" workbookViewId="0">
      <selection sqref="A1:R35"/>
    </sheetView>
  </sheetViews>
  <sheetFormatPr defaultRowHeight="15" x14ac:dyDescent="0.25"/>
  <cols>
    <col min="1" max="1" width="15" style="65" customWidth="1"/>
    <col min="2" max="2" width="20" style="65" customWidth="1"/>
    <col min="3" max="3" width="14" style="65" customWidth="1"/>
    <col min="4" max="4" width="12.5703125" style="65" customWidth="1"/>
    <col min="5" max="5" width="19.42578125" style="65" customWidth="1"/>
    <col min="6" max="6" width="12.7109375" style="65" customWidth="1"/>
    <col min="7" max="7" width="11.140625" style="65" customWidth="1"/>
    <col min="8" max="8" width="12.85546875" style="65" customWidth="1"/>
    <col min="9" max="10" width="14" style="65" customWidth="1"/>
    <col min="11" max="12" width="13.140625" style="65" customWidth="1"/>
    <col min="13" max="13" width="14" style="65" customWidth="1"/>
    <col min="14" max="14" width="7.85546875" style="65" customWidth="1"/>
    <col min="15" max="15" width="12.85546875" style="65" customWidth="1"/>
    <col min="16" max="16" width="6.42578125" style="65" customWidth="1"/>
    <col min="17" max="17" width="12.5703125" style="65" customWidth="1"/>
    <col min="18" max="18" width="17.140625" style="65" customWidth="1"/>
    <col min="19" max="19" width="20.5703125" style="65" customWidth="1"/>
    <col min="20" max="20" width="9.140625" style="65"/>
    <col min="21" max="21" width="21.42578125" style="65" customWidth="1"/>
    <col min="22" max="16384" width="9.140625" style="65"/>
  </cols>
  <sheetData>
    <row r="1" spans="1:18" ht="15" customHeight="1" x14ac:dyDescent="0.2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15" customHeight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15.75" x14ac:dyDescent="0.25">
      <c r="A3" s="250" t="s">
        <v>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8" ht="15" customHeight="1" x14ac:dyDescent="0.25">
      <c r="A4" s="250" t="s">
        <v>50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ht="15.75" x14ac:dyDescent="0.25">
      <c r="A5" s="221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ht="15.75" x14ac:dyDescent="0.25">
      <c r="A6" s="274" t="s">
        <v>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</row>
    <row r="7" spans="1:18" ht="15.75" x14ac:dyDescent="0.25">
      <c r="A7" s="274" t="s">
        <v>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</row>
    <row r="8" spans="1:18" ht="15.75" x14ac:dyDescent="0.25">
      <c r="A8" s="274" t="s">
        <v>101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</row>
    <row r="9" spans="1:18" ht="15.75" x14ac:dyDescent="0.25">
      <c r="A9" s="274" t="s">
        <v>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</row>
    <row r="10" spans="1:18" ht="15.75" x14ac:dyDescent="0.25">
      <c r="A10" s="275"/>
      <c r="B10" s="275"/>
      <c r="C10" s="275"/>
      <c r="D10" s="275"/>
      <c r="E10" s="275"/>
      <c r="F10" s="275"/>
      <c r="G10" s="275"/>
      <c r="H10" s="275"/>
      <c r="I10" s="275"/>
      <c r="J10" s="276"/>
      <c r="K10" s="276"/>
      <c r="L10" s="276"/>
      <c r="M10" s="276"/>
      <c r="N10" s="276"/>
      <c r="O10" s="276"/>
      <c r="P10" s="276"/>
      <c r="Q10" s="276"/>
      <c r="R10" s="276"/>
    </row>
    <row r="11" spans="1:18" x14ac:dyDescent="0.25">
      <c r="A11" s="277" t="s">
        <v>102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</row>
    <row r="12" spans="1:18" x14ac:dyDescent="0.25">
      <c r="A12" s="66" t="s">
        <v>103</v>
      </c>
      <c r="B12" s="66" t="s">
        <v>69</v>
      </c>
      <c r="C12" s="66" t="s">
        <v>70</v>
      </c>
      <c r="D12" s="66" t="s">
        <v>71</v>
      </c>
      <c r="E12" s="67" t="s">
        <v>104</v>
      </c>
      <c r="F12" s="66" t="s">
        <v>72</v>
      </c>
      <c r="G12" s="66" t="s">
        <v>73</v>
      </c>
      <c r="H12" s="66" t="s">
        <v>74</v>
      </c>
      <c r="I12" s="67" t="s">
        <v>105</v>
      </c>
      <c r="J12" s="66" t="s">
        <v>75</v>
      </c>
      <c r="K12" s="66" t="s">
        <v>76</v>
      </c>
      <c r="L12" s="66" t="s">
        <v>77</v>
      </c>
      <c r="M12" s="67" t="s">
        <v>106</v>
      </c>
      <c r="N12" s="66" t="s">
        <v>78</v>
      </c>
      <c r="O12" s="66" t="s">
        <v>79</v>
      </c>
      <c r="P12" s="66" t="s">
        <v>80</v>
      </c>
      <c r="Q12" s="67" t="s">
        <v>107</v>
      </c>
      <c r="R12" s="66" t="s">
        <v>14</v>
      </c>
    </row>
    <row r="13" spans="1:18" x14ac:dyDescent="0.25">
      <c r="A13" s="279" t="s">
        <v>108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</row>
    <row r="14" spans="1:18" x14ac:dyDescent="0.25">
      <c r="A14" s="2" t="s">
        <v>118</v>
      </c>
      <c r="B14" s="69">
        <v>29</v>
      </c>
      <c r="C14" s="71">
        <v>0</v>
      </c>
      <c r="D14" s="71">
        <v>0</v>
      </c>
      <c r="E14" s="70">
        <f>B14+C14+D14</f>
        <v>29</v>
      </c>
      <c r="F14" s="71">
        <v>0</v>
      </c>
      <c r="G14" s="71">
        <v>0</v>
      </c>
      <c r="H14" s="71">
        <v>0</v>
      </c>
      <c r="I14" s="70">
        <f>SUM(F14:H14)</f>
        <v>0</v>
      </c>
      <c r="J14" s="71">
        <v>0</v>
      </c>
      <c r="K14" s="71">
        <v>0</v>
      </c>
      <c r="L14" s="71">
        <v>0</v>
      </c>
      <c r="M14" s="70">
        <f>SUM(J14:L14)</f>
        <v>0</v>
      </c>
      <c r="N14" s="71">
        <v>0</v>
      </c>
      <c r="O14" s="71">
        <v>0</v>
      </c>
      <c r="P14" s="71">
        <v>0</v>
      </c>
      <c r="Q14" s="70">
        <f t="shared" ref="Q14" si="0">SUM(N14:P14)</f>
        <v>0</v>
      </c>
      <c r="R14" s="69">
        <f t="shared" ref="R14" si="1">E14+I14+M14+Q14</f>
        <v>29</v>
      </c>
    </row>
    <row r="15" spans="1:18" x14ac:dyDescent="0.25">
      <c r="A15" s="2" t="s">
        <v>39</v>
      </c>
      <c r="B15" s="1">
        <v>29</v>
      </c>
      <c r="C15" s="1">
        <v>16</v>
      </c>
      <c r="D15" s="1">
        <v>22</v>
      </c>
      <c r="E15" s="118">
        <f t="shared" ref="E15" si="2">SUM(B15:D15)</f>
        <v>67</v>
      </c>
      <c r="F15" s="1">
        <v>7</v>
      </c>
      <c r="G15" s="1">
        <v>3</v>
      </c>
      <c r="H15" s="1">
        <v>10</v>
      </c>
      <c r="I15" s="118">
        <f t="shared" ref="I15" si="3">SUM(F15:H15)</f>
        <v>20</v>
      </c>
      <c r="J15" s="1">
        <v>14</v>
      </c>
      <c r="K15" s="1">
        <v>9</v>
      </c>
      <c r="L15" s="1">
        <v>0</v>
      </c>
      <c r="M15" s="118">
        <f t="shared" ref="M15" si="4">SUM(J15:L15)</f>
        <v>23</v>
      </c>
      <c r="N15" s="1">
        <v>1</v>
      </c>
      <c r="O15" s="1">
        <v>3</v>
      </c>
      <c r="P15" s="1">
        <v>1</v>
      </c>
      <c r="Q15" s="118">
        <f t="shared" ref="Q15" si="5">SUM(N15:P15)</f>
        <v>5</v>
      </c>
      <c r="R15" s="1">
        <f t="shared" ref="R15" si="6">E15+I15+M15+Q15</f>
        <v>115</v>
      </c>
    </row>
    <row r="16" spans="1:18" x14ac:dyDescent="0.25">
      <c r="A16" s="72" t="s">
        <v>110</v>
      </c>
      <c r="B16" s="73">
        <f>SUM(B14:B15)</f>
        <v>58</v>
      </c>
      <c r="C16" s="73">
        <f>SUM(C15:C15)</f>
        <v>16</v>
      </c>
      <c r="D16" s="73">
        <f>SUM(D15:D15)</f>
        <v>22</v>
      </c>
      <c r="E16" s="74">
        <f>SUM(B16:D16)</f>
        <v>96</v>
      </c>
      <c r="F16" s="73">
        <f>SUM(F15:F15)</f>
        <v>7</v>
      </c>
      <c r="G16" s="73">
        <f>SUM(G15:G15)</f>
        <v>3</v>
      </c>
      <c r="H16" s="73">
        <v>9</v>
      </c>
      <c r="I16" s="74">
        <f>SUM(F16:H16)</f>
        <v>19</v>
      </c>
      <c r="J16" s="73">
        <v>15</v>
      </c>
      <c r="K16" s="73">
        <f>SUM(K15:K15)</f>
        <v>9</v>
      </c>
      <c r="L16" s="73">
        <f>SUM(L15:L15)</f>
        <v>0</v>
      </c>
      <c r="M16" s="74">
        <f>SUM(J16:L16)</f>
        <v>24</v>
      </c>
      <c r="N16" s="73">
        <f>SUM(N15:N15)</f>
        <v>1</v>
      </c>
      <c r="O16" s="73">
        <f>SUM(O15:O15)</f>
        <v>3</v>
      </c>
      <c r="P16" s="73">
        <f>SUM(P15:P15)</f>
        <v>1</v>
      </c>
      <c r="Q16" s="74">
        <f>SUM(N16:P16)</f>
        <v>5</v>
      </c>
      <c r="R16" s="73">
        <f>E16+I16+M16+Q16</f>
        <v>144</v>
      </c>
    </row>
    <row r="17" spans="1:21" x14ac:dyDescent="0.25">
      <c r="U17" s="160">
        <v>2341400000</v>
      </c>
    </row>
    <row r="18" spans="1:21" x14ac:dyDescent="0.25">
      <c r="A18" s="282" t="s">
        <v>111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U18" s="160">
        <v>590875815</v>
      </c>
    </row>
    <row r="19" spans="1:21" x14ac:dyDescent="0.25">
      <c r="A19" s="66" t="s">
        <v>103</v>
      </c>
      <c r="B19" s="66" t="s">
        <v>69</v>
      </c>
      <c r="C19" s="66" t="s">
        <v>70</v>
      </c>
      <c r="D19" s="66" t="s">
        <v>71</v>
      </c>
      <c r="E19" s="67" t="s">
        <v>104</v>
      </c>
      <c r="F19" s="66" t="s">
        <v>72</v>
      </c>
      <c r="G19" s="66" t="s">
        <v>73</v>
      </c>
      <c r="H19" s="66" t="s">
        <v>74</v>
      </c>
      <c r="I19" s="67" t="s">
        <v>105</v>
      </c>
      <c r="J19" s="66" t="s">
        <v>75</v>
      </c>
      <c r="K19" s="66" t="s">
        <v>76</v>
      </c>
      <c r="L19" s="66" t="s">
        <v>77</v>
      </c>
      <c r="M19" s="67" t="s">
        <v>106</v>
      </c>
      <c r="N19" s="66" t="s">
        <v>78</v>
      </c>
      <c r="O19" s="66" t="s">
        <v>79</v>
      </c>
      <c r="P19" s="66" t="s">
        <v>80</v>
      </c>
      <c r="Q19" s="67" t="s">
        <v>107</v>
      </c>
      <c r="R19" s="75" t="s">
        <v>14</v>
      </c>
      <c r="U19" s="245">
        <f>SUM(U17:U18)</f>
        <v>2932275815</v>
      </c>
    </row>
    <row r="20" spans="1:21" x14ac:dyDescent="0.25">
      <c r="A20" s="2" t="s">
        <v>118</v>
      </c>
      <c r="B20" s="121">
        <f>SUM('APP Summary'!L12:L14)</f>
        <v>2941817815</v>
      </c>
      <c r="C20" s="105">
        <v>0</v>
      </c>
      <c r="D20" s="105">
        <v>0</v>
      </c>
      <c r="E20" s="106">
        <f>SUM(B20:D20)</f>
        <v>2941817815</v>
      </c>
      <c r="F20" s="71">
        <v>0</v>
      </c>
      <c r="G20" s="71">
        <v>0</v>
      </c>
      <c r="H20" s="71">
        <v>0</v>
      </c>
      <c r="I20" s="70">
        <f>SUM(F20:H20)</f>
        <v>0</v>
      </c>
      <c r="J20" s="71">
        <v>0</v>
      </c>
      <c r="K20" s="71">
        <v>0</v>
      </c>
      <c r="L20" s="71">
        <v>0</v>
      </c>
      <c r="M20" s="70">
        <f>SUM(J20:L20)</f>
        <v>0</v>
      </c>
      <c r="N20" s="71">
        <v>0</v>
      </c>
      <c r="O20" s="71">
        <v>0</v>
      </c>
      <c r="P20" s="71">
        <v>0</v>
      </c>
      <c r="Q20" s="70">
        <f t="shared" ref="Q20" si="7">SUM(N20:P20)</f>
        <v>0</v>
      </c>
      <c r="R20" s="112">
        <f>E20+I20+M20+Q20</f>
        <v>2941817815</v>
      </c>
    </row>
    <row r="21" spans="1:21" x14ac:dyDescent="0.25">
      <c r="A21" s="2" t="s">
        <v>39</v>
      </c>
      <c r="B21" s="3">
        <f>12177175-610470</f>
        <v>11566705</v>
      </c>
      <c r="C21" s="3">
        <v>6575779.166666666</v>
      </c>
      <c r="D21" s="3">
        <f>2636970+218000</f>
        <v>2854970</v>
      </c>
      <c r="E21" s="119">
        <f>SUM(B21:D21)</f>
        <v>20997454.166666664</v>
      </c>
      <c r="F21" s="3">
        <v>3530000</v>
      </c>
      <c r="G21" s="3">
        <v>340000</v>
      </c>
      <c r="H21" s="3">
        <f>4156779.16666667+35</f>
        <v>4156814.1666666698</v>
      </c>
      <c r="I21" s="119">
        <f>SUM(F21:H21)</f>
        <v>8026814.1666666698</v>
      </c>
      <c r="J21" s="3">
        <v>7080500</v>
      </c>
      <c r="K21" s="3">
        <v>3135750</v>
      </c>
      <c r="L21" s="3">
        <v>806666.66666666663</v>
      </c>
      <c r="M21" s="119">
        <f>SUM(J21:L21)</f>
        <v>11022916.666666666</v>
      </c>
      <c r="N21" s="3">
        <v>0</v>
      </c>
      <c r="O21" s="3">
        <v>340000</v>
      </c>
      <c r="P21" s="3">
        <v>0</v>
      </c>
      <c r="Q21" s="119">
        <f t="shared" ref="Q21" si="8">SUM(N21:P21)</f>
        <v>340000</v>
      </c>
      <c r="R21" s="120">
        <f t="shared" ref="R21" si="9">E21+I21+M21+Q21</f>
        <v>40387185</v>
      </c>
      <c r="S21" s="160">
        <v>40387165</v>
      </c>
    </row>
    <row r="22" spans="1:21" x14ac:dyDescent="0.25">
      <c r="A22" s="72" t="s">
        <v>110</v>
      </c>
      <c r="B22" s="104">
        <f>SUM(B20:B21)</f>
        <v>2953384520</v>
      </c>
      <c r="C22" s="79">
        <f>SUM(C21:C21)</f>
        <v>6575779.166666666</v>
      </c>
      <c r="D22" s="79">
        <f>SUM(D21:D21)</f>
        <v>2854970</v>
      </c>
      <c r="E22" s="107">
        <f t="shared" ref="E22" si="10">SUM(B22:D22)</f>
        <v>2962815269.1666665</v>
      </c>
      <c r="F22" s="79">
        <f>SUM(F21:F21)</f>
        <v>3530000</v>
      </c>
      <c r="G22" s="79">
        <f>SUM(G21:G21)</f>
        <v>340000</v>
      </c>
      <c r="H22" s="79">
        <f>SUM(H21:H21)</f>
        <v>4156814.1666666698</v>
      </c>
      <c r="I22" s="111">
        <f>SUM(F22:H22)</f>
        <v>8026814.1666666698</v>
      </c>
      <c r="J22" s="79">
        <f t="shared" ref="J22:P22" si="11">SUM(J21:J21)</f>
        <v>7080500</v>
      </c>
      <c r="K22" s="222">
        <f t="shared" si="11"/>
        <v>3135750</v>
      </c>
      <c r="L22" s="79">
        <f t="shared" si="11"/>
        <v>806666.66666666663</v>
      </c>
      <c r="M22" s="80">
        <f t="shared" si="11"/>
        <v>11022916.666666666</v>
      </c>
      <c r="N22" s="79">
        <f t="shared" si="11"/>
        <v>0</v>
      </c>
      <c r="O22" s="79">
        <f t="shared" si="11"/>
        <v>340000</v>
      </c>
      <c r="P22" s="79">
        <f t="shared" si="11"/>
        <v>0</v>
      </c>
      <c r="Q22" s="80">
        <f>SUM(N22:P22)</f>
        <v>340000</v>
      </c>
      <c r="R22" s="81">
        <f>SUM(R20:R21)</f>
        <v>2982205000</v>
      </c>
      <c r="U22" s="65">
        <v>2341400000</v>
      </c>
    </row>
    <row r="23" spans="1:21" x14ac:dyDescent="0.25">
      <c r="U23" s="65">
        <v>590887815</v>
      </c>
    </row>
    <row r="24" spans="1:21" ht="17.25" customHeight="1" x14ac:dyDescent="0.25">
      <c r="R24" s="108"/>
      <c r="U24" s="65">
        <v>9530000</v>
      </c>
    </row>
    <row r="25" spans="1:21" x14ac:dyDescent="0.25">
      <c r="U25" s="65">
        <v>40387165</v>
      </c>
    </row>
    <row r="26" spans="1:21" x14ac:dyDescent="0.25">
      <c r="G26" s="123"/>
      <c r="J26" s="124"/>
      <c r="U26" s="88">
        <f>SUM(U22:U25)</f>
        <v>2982204980</v>
      </c>
    </row>
    <row r="28" spans="1:21" x14ac:dyDescent="0.25">
      <c r="F28" s="88"/>
      <c r="H28" s="89"/>
      <c r="R28" s="109"/>
      <c r="S28" s="244">
        <f>S21-R21</f>
        <v>-20</v>
      </c>
    </row>
    <row r="29" spans="1:21" s="4" customFormat="1" ht="15.75" x14ac:dyDescent="0.25">
      <c r="B29" s="82"/>
      <c r="C29" s="272" t="s">
        <v>46</v>
      </c>
      <c r="D29" s="272"/>
      <c r="E29" s="272"/>
      <c r="F29" s="223"/>
      <c r="G29" s="178"/>
      <c r="H29" s="224"/>
      <c r="I29" s="178"/>
      <c r="J29" s="225"/>
      <c r="K29" s="226"/>
      <c r="L29" s="178"/>
      <c r="M29" s="272" t="s">
        <v>48</v>
      </c>
      <c r="N29" s="272"/>
      <c r="O29" s="272"/>
      <c r="P29" s="83"/>
      <c r="Q29" s="83"/>
      <c r="R29" s="287"/>
      <c r="S29" s="83"/>
    </row>
    <row r="30" spans="1:21" s="4" customFormat="1" ht="15.75" x14ac:dyDescent="0.25">
      <c r="A30" s="5"/>
      <c r="B30" s="5"/>
      <c r="C30" s="178"/>
      <c r="D30" s="177"/>
      <c r="E30" s="177"/>
      <c r="F30" s="227"/>
      <c r="G30" s="228"/>
      <c r="H30" s="178"/>
      <c r="I30" s="178"/>
      <c r="J30" s="177"/>
      <c r="K30" s="177"/>
      <c r="L30" s="177"/>
      <c r="M30" s="177"/>
      <c r="N30" s="177"/>
      <c r="O30" s="177"/>
      <c r="P30" s="5"/>
      <c r="Q30" s="5"/>
      <c r="R30" s="5"/>
      <c r="S30" s="5"/>
      <c r="U30" s="4">
        <v>2341400000</v>
      </c>
    </row>
    <row r="31" spans="1:21" s="4" customFormat="1" ht="15.75" x14ac:dyDescent="0.25">
      <c r="A31" s="5"/>
      <c r="B31" s="5"/>
      <c r="C31" s="178"/>
      <c r="D31" s="177"/>
      <c r="E31" s="177"/>
      <c r="F31" s="177"/>
      <c r="G31" s="178"/>
      <c r="H31" s="178"/>
      <c r="I31" s="178"/>
      <c r="J31" s="177"/>
      <c r="K31" s="177"/>
      <c r="L31" s="177"/>
      <c r="M31" s="177"/>
      <c r="N31" s="177"/>
      <c r="O31" s="177"/>
      <c r="P31" s="5"/>
      <c r="Q31" s="5"/>
      <c r="R31" s="5"/>
      <c r="S31" s="5"/>
      <c r="U31" s="4">
        <v>640805000</v>
      </c>
    </row>
    <row r="32" spans="1:21" s="4" customFormat="1" ht="15.75" x14ac:dyDescent="0.25">
      <c r="A32" s="5"/>
      <c r="B32" s="5"/>
      <c r="C32" s="178"/>
      <c r="D32" s="177"/>
      <c r="E32" s="177"/>
      <c r="F32" s="177"/>
      <c r="G32" s="178"/>
      <c r="H32" s="178"/>
      <c r="I32" s="178"/>
      <c r="J32" s="177"/>
      <c r="K32" s="177"/>
      <c r="L32" s="177"/>
      <c r="M32" s="177"/>
      <c r="N32" s="177"/>
      <c r="O32" s="177"/>
      <c r="P32" s="5"/>
      <c r="Q32" s="5"/>
      <c r="R32" s="5"/>
      <c r="S32" s="5"/>
      <c r="U32" s="246">
        <f>SUM(U30:U31)</f>
        <v>2982205000</v>
      </c>
    </row>
    <row r="33" spans="1:21" s="85" customFormat="1" ht="15.75" x14ac:dyDescent="0.25">
      <c r="A33" s="84"/>
      <c r="B33" s="84"/>
      <c r="C33" s="63" t="s">
        <v>236</v>
      </c>
      <c r="D33" s="64"/>
      <c r="E33" s="177"/>
      <c r="F33" s="177"/>
      <c r="G33" s="178"/>
      <c r="H33" s="178"/>
      <c r="I33" s="178"/>
      <c r="J33" s="177"/>
      <c r="K33" s="177"/>
      <c r="L33" s="177"/>
      <c r="M33" s="273" t="s">
        <v>237</v>
      </c>
      <c r="N33" s="273"/>
      <c r="O33" s="273"/>
      <c r="P33" s="84"/>
      <c r="Q33" s="84"/>
      <c r="R33" s="84"/>
      <c r="S33" s="84"/>
    </row>
    <row r="34" spans="1:21" s="85" customFormat="1" ht="15.75" x14ac:dyDescent="0.25">
      <c r="A34" s="84"/>
      <c r="B34" s="84"/>
      <c r="C34" s="48" t="s">
        <v>235</v>
      </c>
      <c r="D34" s="61"/>
      <c r="E34" s="177"/>
      <c r="F34" s="177"/>
      <c r="G34" s="178"/>
      <c r="H34" s="178"/>
      <c r="I34" s="178"/>
      <c r="J34" s="177"/>
      <c r="K34" s="177"/>
      <c r="L34" s="177"/>
      <c r="M34" s="271" t="s">
        <v>53</v>
      </c>
      <c r="N34" s="271"/>
      <c r="O34" s="271"/>
      <c r="P34" s="84"/>
      <c r="Q34" s="84"/>
      <c r="R34" s="84"/>
      <c r="S34" s="84"/>
      <c r="U34" s="247">
        <f>U32-U26</f>
        <v>20</v>
      </c>
    </row>
    <row r="35" spans="1:21" s="85" customFormat="1" ht="15.75" x14ac:dyDescent="0.25">
      <c r="A35" s="84"/>
      <c r="B35" s="84"/>
      <c r="C35" s="259" t="s">
        <v>95</v>
      </c>
      <c r="D35" s="259"/>
      <c r="E35" s="177"/>
      <c r="F35" s="177"/>
      <c r="G35" s="178"/>
      <c r="H35" s="178"/>
      <c r="I35" s="178"/>
      <c r="J35" s="177"/>
      <c r="K35" s="177"/>
      <c r="L35" s="177"/>
      <c r="M35" s="271" t="s">
        <v>55</v>
      </c>
      <c r="N35" s="271"/>
      <c r="O35" s="271"/>
      <c r="P35" s="84"/>
      <c r="Q35" s="84"/>
      <c r="R35" s="84"/>
      <c r="S35" s="84"/>
    </row>
    <row r="36" spans="1:21" s="87" customFormat="1" x14ac:dyDescent="0.25">
      <c r="A36" s="86"/>
      <c r="B36" s="86"/>
      <c r="C36" s="25"/>
      <c r="D36" s="51"/>
      <c r="E36" s="51"/>
      <c r="F36" s="51"/>
      <c r="G36" s="25"/>
      <c r="H36" s="25"/>
      <c r="I36" s="51"/>
      <c r="J36" s="51"/>
      <c r="K36" s="51"/>
      <c r="L36" s="51"/>
      <c r="M36" s="51"/>
      <c r="N36" s="51"/>
      <c r="O36" s="51"/>
      <c r="P36" s="86"/>
      <c r="Q36" s="86"/>
      <c r="R36" s="86"/>
      <c r="S36" s="86"/>
    </row>
    <row r="38" spans="1:21" x14ac:dyDescent="0.25">
      <c r="U38" s="109">
        <f>U34/1100</f>
        <v>1.8181818181818181E-2</v>
      </c>
    </row>
    <row r="55" spans="1:18" x14ac:dyDescent="0.25">
      <c r="A55" s="68" t="s">
        <v>22</v>
      </c>
      <c r="B55" s="69">
        <v>2</v>
      </c>
      <c r="C55" s="69">
        <v>1</v>
      </c>
      <c r="D55" s="69">
        <v>1</v>
      </c>
      <c r="E55" s="70">
        <v>4</v>
      </c>
      <c r="F55" s="69">
        <v>4</v>
      </c>
      <c r="G55" s="69">
        <v>2</v>
      </c>
      <c r="H55" s="69">
        <v>2</v>
      </c>
      <c r="I55" s="70">
        <v>8</v>
      </c>
      <c r="J55" s="69">
        <v>4</v>
      </c>
      <c r="K55" s="69">
        <v>1</v>
      </c>
      <c r="L55" s="69">
        <v>1</v>
      </c>
      <c r="M55" s="70">
        <v>6</v>
      </c>
      <c r="N55" s="69">
        <v>2</v>
      </c>
      <c r="O55" s="69">
        <v>1</v>
      </c>
      <c r="P55" s="69">
        <v>1</v>
      </c>
      <c r="Q55" s="70">
        <v>4</v>
      </c>
      <c r="R55" s="69">
        <v>22</v>
      </c>
    </row>
    <row r="56" spans="1:18" x14ac:dyDescent="0.25">
      <c r="A56" s="68" t="s">
        <v>22</v>
      </c>
      <c r="B56" s="76">
        <v>1228083.33</v>
      </c>
      <c r="C56" s="76">
        <v>53333.33</v>
      </c>
      <c r="D56" s="76">
        <v>53333.33</v>
      </c>
      <c r="E56" s="77">
        <v>1334749.99</v>
      </c>
      <c r="F56" s="76">
        <v>3167575.83</v>
      </c>
      <c r="G56" s="76">
        <v>79333.33</v>
      </c>
      <c r="H56" s="76">
        <v>79333.33</v>
      </c>
      <c r="I56" s="77">
        <v>3326242.49</v>
      </c>
      <c r="J56" s="76">
        <v>2728875.83</v>
      </c>
      <c r="K56" s="76">
        <v>53333.33</v>
      </c>
      <c r="L56" s="76">
        <v>53333.33</v>
      </c>
      <c r="M56" s="77">
        <v>2835542.49</v>
      </c>
      <c r="N56" s="76">
        <v>1364083.33</v>
      </c>
      <c r="O56" s="76">
        <v>53333.33</v>
      </c>
      <c r="P56" s="76">
        <v>53333.33</v>
      </c>
      <c r="Q56" s="77">
        <v>1470749.99</v>
      </c>
      <c r="R56" s="78">
        <v>8967284.9600000009</v>
      </c>
    </row>
  </sheetData>
  <mergeCells count="19">
    <mergeCell ref="A1:R1"/>
    <mergeCell ref="A2:R2"/>
    <mergeCell ref="A3:R3"/>
    <mergeCell ref="A6:R6"/>
    <mergeCell ref="A7:R7"/>
    <mergeCell ref="M34:O34"/>
    <mergeCell ref="C35:D35"/>
    <mergeCell ref="M35:O35"/>
    <mergeCell ref="A4:R4"/>
    <mergeCell ref="C29:E29"/>
    <mergeCell ref="M29:O29"/>
    <mergeCell ref="M33:O33"/>
    <mergeCell ref="A9:R9"/>
    <mergeCell ref="A10:I10"/>
    <mergeCell ref="J10:R10"/>
    <mergeCell ref="A11:R11"/>
    <mergeCell ref="A13:R13"/>
    <mergeCell ref="A18:R18"/>
    <mergeCell ref="A8:R8"/>
  </mergeCells>
  <pageMargins left="0.19685039370078741" right="0.11811023622047245" top="0.47244094488188981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topLeftCell="B6" workbookViewId="0">
      <selection activeCell="B1" sqref="B1:S28"/>
    </sheetView>
  </sheetViews>
  <sheetFormatPr defaultRowHeight="15" x14ac:dyDescent="0.25"/>
  <cols>
    <col min="1" max="1" width="27.7109375" customWidth="1"/>
    <col min="2" max="2" width="19.85546875" customWidth="1"/>
    <col min="3" max="3" width="15.5703125" customWidth="1"/>
    <col min="4" max="4" width="12.7109375" customWidth="1"/>
    <col min="5" max="5" width="11.7109375" customWidth="1"/>
    <col min="6" max="6" width="12.85546875" customWidth="1"/>
    <col min="7" max="7" width="11.7109375" customWidth="1"/>
    <col min="8" max="8" width="12.85546875" customWidth="1"/>
    <col min="9" max="11" width="11.28515625" customWidth="1"/>
    <col min="12" max="12" width="15.28515625" customWidth="1"/>
    <col min="13" max="13" width="10.28515625" customWidth="1"/>
    <col min="14" max="15" width="16.28515625" customWidth="1"/>
    <col min="16" max="16" width="9.28515625" customWidth="1"/>
    <col min="17" max="17" width="11.28515625" customWidth="1"/>
    <col min="18" max="18" width="12.28515625" customWidth="1"/>
    <col min="19" max="19" width="18.85546875" customWidth="1"/>
  </cols>
  <sheetData>
    <row r="1" spans="1:21" ht="60" x14ac:dyDescent="0.25">
      <c r="A1" s="284" t="s">
        <v>233</v>
      </c>
      <c r="B1" s="146" t="s">
        <v>194</v>
      </c>
      <c r="C1" s="146" t="s">
        <v>195</v>
      </c>
      <c r="D1" s="193" t="s">
        <v>216</v>
      </c>
      <c r="E1" s="146" t="s">
        <v>213</v>
      </c>
      <c r="F1" s="193" t="s">
        <v>214</v>
      </c>
      <c r="G1" s="146" t="s">
        <v>200</v>
      </c>
      <c r="H1" s="193" t="s">
        <v>215</v>
      </c>
      <c r="I1" s="146" t="s">
        <v>197</v>
      </c>
      <c r="J1" s="146" t="s">
        <v>211</v>
      </c>
      <c r="K1" s="146" t="s">
        <v>212</v>
      </c>
      <c r="L1" s="193" t="s">
        <v>201</v>
      </c>
      <c r="M1" s="146" t="s">
        <v>198</v>
      </c>
      <c r="N1" s="146" t="s">
        <v>199</v>
      </c>
      <c r="O1" s="193" t="s">
        <v>218</v>
      </c>
      <c r="P1" s="193" t="s">
        <v>219</v>
      </c>
      <c r="Q1" s="146" t="s">
        <v>45</v>
      </c>
      <c r="R1" s="146" t="s">
        <v>220</v>
      </c>
      <c r="S1" s="146" t="s">
        <v>221</v>
      </c>
    </row>
    <row r="2" spans="1:21" ht="42.75" x14ac:dyDescent="0.25">
      <c r="A2" s="285"/>
      <c r="B2" s="187" t="s">
        <v>206</v>
      </c>
      <c r="C2" s="187" t="s">
        <v>206</v>
      </c>
      <c r="D2" s="187" t="s">
        <v>217</v>
      </c>
      <c r="E2" s="187" t="s">
        <v>209</v>
      </c>
      <c r="F2" s="187" t="s">
        <v>209</v>
      </c>
      <c r="G2" s="187" t="s">
        <v>210</v>
      </c>
      <c r="H2" s="187" t="s">
        <v>210</v>
      </c>
      <c r="I2" s="188">
        <v>50</v>
      </c>
      <c r="J2" s="188">
        <v>100</v>
      </c>
      <c r="K2" s="188">
        <v>100</v>
      </c>
      <c r="L2" s="189">
        <v>150</v>
      </c>
      <c r="M2" s="187" t="s">
        <v>208</v>
      </c>
      <c r="N2" s="187" t="s">
        <v>207</v>
      </c>
      <c r="O2" s="188"/>
      <c r="P2" s="188"/>
      <c r="Q2" s="190"/>
      <c r="R2" s="191"/>
      <c r="S2" s="192"/>
    </row>
    <row r="3" spans="1:21" ht="30" x14ac:dyDescent="0.25">
      <c r="A3" s="133" t="s">
        <v>196</v>
      </c>
      <c r="B3" s="132">
        <f>3960*2</f>
        <v>7920</v>
      </c>
      <c r="C3" s="132">
        <f>3600+360</f>
        <v>3960</v>
      </c>
      <c r="D3" s="132">
        <f>165*2</f>
        <v>330</v>
      </c>
      <c r="E3" s="132">
        <f>330*2</f>
        <v>660</v>
      </c>
      <c r="F3" s="132">
        <f>330*1</f>
        <v>330</v>
      </c>
      <c r="G3" s="132">
        <f>110*2</f>
        <v>220</v>
      </c>
      <c r="H3" s="132">
        <v>110</v>
      </c>
      <c r="I3" s="132">
        <v>50</v>
      </c>
      <c r="J3" s="132">
        <v>50</v>
      </c>
      <c r="K3" s="132">
        <v>50</v>
      </c>
      <c r="L3" s="132">
        <v>150</v>
      </c>
      <c r="M3" s="132">
        <f>400*3</f>
        <v>1200</v>
      </c>
      <c r="N3" s="132">
        <f>400*11</f>
        <v>4400</v>
      </c>
      <c r="O3" s="132"/>
      <c r="P3" s="132"/>
      <c r="Q3" s="142">
        <v>19430</v>
      </c>
      <c r="R3" s="140">
        <v>2800</v>
      </c>
      <c r="S3" s="141">
        <f>Q3*R3</f>
        <v>54404000</v>
      </c>
      <c r="T3">
        <v>400</v>
      </c>
      <c r="U3">
        <v>11</v>
      </c>
    </row>
    <row r="4" spans="1:21" ht="28.5" x14ac:dyDescent="0.25">
      <c r="A4" s="134" t="s">
        <v>119</v>
      </c>
      <c r="B4" s="132">
        <f>3600+360</f>
        <v>3960</v>
      </c>
      <c r="C4" s="132"/>
      <c r="D4" s="132">
        <v>165</v>
      </c>
      <c r="E4" s="132">
        <v>330</v>
      </c>
      <c r="F4" s="132">
        <v>330</v>
      </c>
      <c r="G4" s="132">
        <v>110</v>
      </c>
      <c r="H4" s="132">
        <v>110</v>
      </c>
      <c r="I4" s="132"/>
      <c r="J4" s="132"/>
      <c r="K4" s="132"/>
      <c r="L4" s="132"/>
      <c r="M4" s="132"/>
      <c r="N4" s="132"/>
      <c r="O4" s="132"/>
      <c r="P4" s="132"/>
      <c r="Q4" s="142">
        <v>5005</v>
      </c>
      <c r="R4" s="140">
        <v>450</v>
      </c>
      <c r="S4" s="141">
        <f t="shared" ref="S4:S27" si="0">Q4*R4</f>
        <v>2252250</v>
      </c>
    </row>
    <row r="5" spans="1:21" ht="28.5" x14ac:dyDescent="0.25">
      <c r="A5" s="135" t="s">
        <v>120</v>
      </c>
      <c r="B5" s="132">
        <f>3600+360</f>
        <v>3960</v>
      </c>
      <c r="C5" s="132">
        <f>3600+360</f>
        <v>3960</v>
      </c>
      <c r="D5" s="132">
        <f>165*2</f>
        <v>330</v>
      </c>
      <c r="E5" s="132">
        <f>330*2</f>
        <v>660</v>
      </c>
      <c r="F5" s="132">
        <f>330*1</f>
        <v>330</v>
      </c>
      <c r="G5" s="132">
        <f>110*2</f>
        <v>220</v>
      </c>
      <c r="H5" s="132">
        <v>110</v>
      </c>
      <c r="I5" s="132">
        <v>50</v>
      </c>
      <c r="J5" s="132">
        <v>50</v>
      </c>
      <c r="K5" s="132">
        <v>50</v>
      </c>
      <c r="L5" s="132">
        <v>150</v>
      </c>
      <c r="M5" s="132">
        <f>400*3</f>
        <v>1200</v>
      </c>
      <c r="N5" s="132">
        <f>400*11</f>
        <v>4400</v>
      </c>
      <c r="O5" s="132"/>
      <c r="P5" s="132"/>
      <c r="Q5" s="142">
        <v>15470</v>
      </c>
      <c r="R5" s="140">
        <v>500</v>
      </c>
      <c r="S5" s="141">
        <f t="shared" si="0"/>
        <v>7735000</v>
      </c>
    </row>
    <row r="6" spans="1:21" ht="23.25" customHeight="1" x14ac:dyDescent="0.25">
      <c r="A6" s="135" t="s">
        <v>121</v>
      </c>
      <c r="B6" s="132">
        <f>3600+360</f>
        <v>3960</v>
      </c>
      <c r="C6" s="132"/>
      <c r="D6" s="132"/>
      <c r="E6" s="132">
        <v>330</v>
      </c>
      <c r="F6" s="132"/>
      <c r="G6" s="132">
        <v>110</v>
      </c>
      <c r="H6" s="132"/>
      <c r="I6" s="132"/>
      <c r="J6" s="132"/>
      <c r="K6" s="132"/>
      <c r="L6" s="132"/>
      <c r="M6" s="132"/>
      <c r="N6" s="132"/>
      <c r="O6" s="132"/>
      <c r="P6" s="132"/>
      <c r="Q6" s="142">
        <v>4400</v>
      </c>
      <c r="R6" s="140">
        <v>550</v>
      </c>
      <c r="S6" s="141">
        <f t="shared" si="0"/>
        <v>2420000</v>
      </c>
    </row>
    <row r="7" spans="1:21" ht="28.5" x14ac:dyDescent="0.25">
      <c r="A7" s="135" t="s">
        <v>122</v>
      </c>
      <c r="B7" s="132">
        <f>3600+360</f>
        <v>3960</v>
      </c>
      <c r="C7" s="132"/>
      <c r="D7" s="132">
        <v>165</v>
      </c>
      <c r="E7" s="132">
        <v>330</v>
      </c>
      <c r="F7" s="132">
        <v>330</v>
      </c>
      <c r="G7" s="132">
        <v>110</v>
      </c>
      <c r="H7" s="132">
        <v>110</v>
      </c>
      <c r="I7" s="132"/>
      <c r="J7" s="132"/>
      <c r="K7" s="132"/>
      <c r="L7" s="132"/>
      <c r="M7" s="132">
        <f>450*5</f>
        <v>2250</v>
      </c>
      <c r="N7" s="132">
        <f>450*10</f>
        <v>4500</v>
      </c>
      <c r="O7" s="132"/>
      <c r="P7" s="132"/>
      <c r="Q7" s="142">
        <v>11755</v>
      </c>
      <c r="R7" s="140">
        <v>1600</v>
      </c>
      <c r="S7" s="141">
        <f t="shared" si="0"/>
        <v>18808000</v>
      </c>
    </row>
    <row r="8" spans="1:21" ht="28.5" x14ac:dyDescent="0.25">
      <c r="A8" s="135" t="s">
        <v>123</v>
      </c>
      <c r="B8" s="132">
        <f t="shared" ref="B8:C12" si="1">3600+360</f>
        <v>3960</v>
      </c>
      <c r="C8" s="132"/>
      <c r="D8" s="132">
        <v>165</v>
      </c>
      <c r="E8" s="132">
        <v>330</v>
      </c>
      <c r="F8" s="132"/>
      <c r="G8" s="132">
        <v>110</v>
      </c>
      <c r="H8" s="132"/>
      <c r="I8" s="132"/>
      <c r="J8" s="132"/>
      <c r="K8" s="132"/>
      <c r="L8" s="132"/>
      <c r="M8" s="132"/>
      <c r="N8" s="132"/>
      <c r="O8" s="132"/>
      <c r="P8" s="132"/>
      <c r="Q8" s="142">
        <v>4565</v>
      </c>
      <c r="R8" s="140">
        <v>1600</v>
      </c>
      <c r="S8" s="141">
        <f t="shared" si="0"/>
        <v>7304000</v>
      </c>
    </row>
    <row r="9" spans="1:21" ht="20.25" customHeight="1" x14ac:dyDescent="0.25">
      <c r="A9" s="135" t="s">
        <v>225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>
        <v>11000</v>
      </c>
      <c r="Q9" s="142">
        <v>10180</v>
      </c>
      <c r="R9" s="140">
        <v>2200</v>
      </c>
      <c r="S9" s="141">
        <f t="shared" ref="S9" si="2">Q9*R9</f>
        <v>22396000</v>
      </c>
    </row>
    <row r="10" spans="1:21" ht="23.25" customHeight="1" x14ac:dyDescent="0.25">
      <c r="A10" s="135" t="s">
        <v>226</v>
      </c>
      <c r="B10" s="132">
        <f t="shared" si="1"/>
        <v>3960</v>
      </c>
      <c r="C10" s="132">
        <f t="shared" si="1"/>
        <v>3960</v>
      </c>
      <c r="D10" s="132">
        <v>165</v>
      </c>
      <c r="E10" s="132">
        <v>330</v>
      </c>
      <c r="F10" s="132">
        <v>330</v>
      </c>
      <c r="G10" s="132">
        <v>110</v>
      </c>
      <c r="H10" s="132">
        <v>111</v>
      </c>
      <c r="I10" s="132"/>
      <c r="J10" s="132"/>
      <c r="K10" s="132"/>
      <c r="L10" s="132"/>
      <c r="M10" s="132">
        <v>2250</v>
      </c>
      <c r="N10" s="132">
        <v>4500</v>
      </c>
      <c r="O10" s="132"/>
      <c r="P10" s="132"/>
      <c r="Q10" s="139">
        <v>15715</v>
      </c>
      <c r="R10" s="140">
        <v>200</v>
      </c>
      <c r="S10" s="141">
        <f t="shared" ref="S10" si="3">Q10*R10</f>
        <v>3143000</v>
      </c>
    </row>
    <row r="11" spans="1:21" ht="28.5" x14ac:dyDescent="0.25">
      <c r="A11" s="135" t="s">
        <v>124</v>
      </c>
      <c r="B11" s="132">
        <f t="shared" si="1"/>
        <v>3960</v>
      </c>
      <c r="C11" s="132"/>
      <c r="D11" s="132"/>
      <c r="E11" s="132">
        <v>330</v>
      </c>
      <c r="F11" s="132"/>
      <c r="G11" s="132">
        <v>110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42">
        <v>4400</v>
      </c>
      <c r="R11" s="140">
        <v>650</v>
      </c>
      <c r="S11" s="141">
        <f t="shared" si="0"/>
        <v>2860000</v>
      </c>
    </row>
    <row r="12" spans="1:21" x14ac:dyDescent="0.25">
      <c r="A12" s="135" t="s">
        <v>125</v>
      </c>
      <c r="B12" s="132">
        <f t="shared" si="1"/>
        <v>3960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42">
        <v>3960</v>
      </c>
      <c r="R12" s="140">
        <v>350</v>
      </c>
      <c r="S12" s="141">
        <f t="shared" si="0"/>
        <v>1386000</v>
      </c>
    </row>
    <row r="13" spans="1:21" x14ac:dyDescent="0.25">
      <c r="A13" s="135" t="s">
        <v>202</v>
      </c>
      <c r="B13" s="130"/>
      <c r="C13" s="130"/>
      <c r="D13" s="130">
        <v>165</v>
      </c>
      <c r="E13" s="130"/>
      <c r="F13" s="130">
        <v>330</v>
      </c>
      <c r="G13" s="130"/>
      <c r="H13" s="130">
        <v>110</v>
      </c>
      <c r="I13" s="130"/>
      <c r="J13" s="130"/>
      <c r="K13" s="130"/>
      <c r="L13" s="130"/>
      <c r="M13" s="130"/>
      <c r="N13" s="130"/>
      <c r="O13" s="130"/>
      <c r="P13" s="130"/>
      <c r="Q13" s="142">
        <v>605</v>
      </c>
      <c r="R13" s="143">
        <v>76800</v>
      </c>
      <c r="S13" s="141">
        <f t="shared" si="0"/>
        <v>46464000</v>
      </c>
    </row>
    <row r="14" spans="1:21" x14ac:dyDescent="0.25">
      <c r="A14" s="135" t="s">
        <v>126</v>
      </c>
      <c r="B14" s="132">
        <v>800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>
        <v>800</v>
      </c>
      <c r="P14" s="132"/>
      <c r="Q14" s="142">
        <v>800</v>
      </c>
      <c r="R14" s="140">
        <v>5500</v>
      </c>
      <c r="S14" s="141">
        <f t="shared" si="0"/>
        <v>4400000</v>
      </c>
    </row>
    <row r="15" spans="1:21" ht="28.5" x14ac:dyDescent="0.25">
      <c r="A15" s="135" t="s">
        <v>127</v>
      </c>
      <c r="B15" s="132"/>
      <c r="C15" s="132"/>
      <c r="D15" s="132">
        <v>165</v>
      </c>
      <c r="E15" s="132"/>
      <c r="F15" s="132">
        <v>330</v>
      </c>
      <c r="G15" s="132"/>
      <c r="H15" s="132">
        <v>110</v>
      </c>
      <c r="I15" s="132"/>
      <c r="J15" s="132"/>
      <c r="K15" s="132"/>
      <c r="L15" s="132"/>
      <c r="M15" s="132"/>
      <c r="N15" s="132"/>
      <c r="O15" s="132"/>
      <c r="P15" s="132"/>
      <c r="Q15" s="142">
        <v>605</v>
      </c>
      <c r="R15" s="140">
        <v>25000</v>
      </c>
      <c r="S15" s="141">
        <f t="shared" si="0"/>
        <v>15125000</v>
      </c>
    </row>
    <row r="16" spans="1:21" ht="28.5" x14ac:dyDescent="0.25">
      <c r="A16" s="135" t="s">
        <v>128</v>
      </c>
      <c r="B16" s="132">
        <f t="shared" ref="B16:C20" si="4">3600+360</f>
        <v>3960</v>
      </c>
      <c r="C16" s="132">
        <f t="shared" si="4"/>
        <v>3960</v>
      </c>
      <c r="D16" s="132">
        <v>165</v>
      </c>
      <c r="E16" s="132">
        <v>330</v>
      </c>
      <c r="F16" s="132">
        <v>330</v>
      </c>
      <c r="G16" s="132">
        <v>110</v>
      </c>
      <c r="H16" s="132">
        <v>110</v>
      </c>
      <c r="I16" s="132">
        <v>50</v>
      </c>
      <c r="J16" s="132">
        <v>50</v>
      </c>
      <c r="K16" s="132">
        <v>50</v>
      </c>
      <c r="L16" s="132">
        <v>150</v>
      </c>
      <c r="M16" s="132">
        <f>450*5</f>
        <v>2250</v>
      </c>
      <c r="N16" s="132">
        <f>450*10</f>
        <v>4500</v>
      </c>
      <c r="O16" s="132"/>
      <c r="P16" s="130">
        <v>5001</v>
      </c>
      <c r="Q16" s="142">
        <v>21016</v>
      </c>
      <c r="R16" s="140">
        <v>4025</v>
      </c>
      <c r="S16" s="141">
        <f t="shared" si="0"/>
        <v>84589400</v>
      </c>
    </row>
    <row r="17" spans="1:19" ht="38.25" x14ac:dyDescent="0.25">
      <c r="A17" s="136" t="s">
        <v>129</v>
      </c>
      <c r="B17" s="132">
        <f>3960*3</f>
        <v>11880</v>
      </c>
      <c r="C17" s="132">
        <f>3960*2</f>
        <v>7920</v>
      </c>
      <c r="D17" s="132">
        <f>165*2</f>
        <v>330</v>
      </c>
      <c r="E17" s="132">
        <f>330*3</f>
        <v>990</v>
      </c>
      <c r="F17" s="132">
        <f>330*2</f>
        <v>660</v>
      </c>
      <c r="G17" s="132">
        <f>G16*2</f>
        <v>220</v>
      </c>
      <c r="H17" s="132">
        <f>H16*2</f>
        <v>220</v>
      </c>
      <c r="I17" s="132">
        <v>50</v>
      </c>
      <c r="J17" s="132">
        <v>50</v>
      </c>
      <c r="K17" s="132">
        <v>50</v>
      </c>
      <c r="L17" s="132">
        <v>150</v>
      </c>
      <c r="M17" s="132">
        <f>450*5</f>
        <v>2250</v>
      </c>
      <c r="N17" s="132">
        <f>450*10</f>
        <v>4500</v>
      </c>
      <c r="O17" s="132"/>
      <c r="P17" s="130"/>
      <c r="Q17" s="142">
        <v>29270</v>
      </c>
      <c r="R17" s="140">
        <v>1950</v>
      </c>
      <c r="S17" s="141">
        <f t="shared" si="0"/>
        <v>57076500</v>
      </c>
    </row>
    <row r="18" spans="1:19" ht="35.25" customHeight="1" x14ac:dyDescent="0.25">
      <c r="A18" s="136" t="s">
        <v>231</v>
      </c>
      <c r="B18" s="130"/>
      <c r="C18" s="130"/>
      <c r="D18" s="130"/>
      <c r="E18" s="130">
        <v>330</v>
      </c>
      <c r="F18" s="130"/>
      <c r="G18" s="130">
        <v>110</v>
      </c>
      <c r="H18" s="130"/>
      <c r="I18" s="132"/>
      <c r="J18" s="132"/>
      <c r="K18" s="132"/>
      <c r="L18" s="132"/>
      <c r="M18" s="132"/>
      <c r="N18" s="132"/>
      <c r="O18" s="132"/>
      <c r="P18" s="130">
        <v>1500</v>
      </c>
      <c r="Q18" s="139">
        <v>1940</v>
      </c>
      <c r="R18" s="140">
        <v>2700</v>
      </c>
      <c r="S18" s="186">
        <f t="shared" ref="S18" si="5">Q18*R18</f>
        <v>5238000</v>
      </c>
    </row>
    <row r="19" spans="1:19" x14ac:dyDescent="0.25">
      <c r="A19" s="135" t="s">
        <v>130</v>
      </c>
      <c r="B19" s="132">
        <f t="shared" si="4"/>
        <v>3960</v>
      </c>
      <c r="C19" s="132">
        <v>3960</v>
      </c>
      <c r="D19" s="132">
        <v>165</v>
      </c>
      <c r="E19" s="132">
        <v>330</v>
      </c>
      <c r="F19" s="132">
        <v>330</v>
      </c>
      <c r="G19" s="132">
        <v>110</v>
      </c>
      <c r="H19" s="132">
        <v>110</v>
      </c>
      <c r="I19" s="132"/>
      <c r="J19" s="132"/>
      <c r="K19" s="132"/>
      <c r="L19" s="132"/>
      <c r="M19" s="132"/>
      <c r="N19" s="132"/>
      <c r="O19" s="132"/>
      <c r="P19" s="132"/>
      <c r="Q19" s="142">
        <v>8965</v>
      </c>
      <c r="R19" s="140">
        <v>250</v>
      </c>
      <c r="S19" s="141">
        <f t="shared" si="0"/>
        <v>2241250</v>
      </c>
    </row>
    <row r="20" spans="1:19" x14ac:dyDescent="0.25">
      <c r="A20" s="135" t="s">
        <v>131</v>
      </c>
      <c r="B20" s="132">
        <f t="shared" si="4"/>
        <v>3960</v>
      </c>
      <c r="C20" s="132">
        <f t="shared" si="4"/>
        <v>3960</v>
      </c>
      <c r="D20" s="132">
        <v>165</v>
      </c>
      <c r="E20" s="132">
        <v>330</v>
      </c>
      <c r="F20" s="132">
        <v>330</v>
      </c>
      <c r="G20" s="132">
        <v>110</v>
      </c>
      <c r="H20" s="132">
        <v>110</v>
      </c>
      <c r="I20" s="132"/>
      <c r="J20" s="132"/>
      <c r="K20" s="132"/>
      <c r="L20" s="132"/>
      <c r="M20" s="132">
        <f>450*5</f>
        <v>2250</v>
      </c>
      <c r="N20" s="132">
        <f>450*10</f>
        <v>4500</v>
      </c>
      <c r="O20" s="132"/>
      <c r="P20" s="132"/>
      <c r="Q20" s="142">
        <v>15715</v>
      </c>
      <c r="R20" s="140">
        <v>1100</v>
      </c>
      <c r="S20" s="141">
        <f t="shared" si="0"/>
        <v>17286500</v>
      </c>
    </row>
    <row r="21" spans="1:19" ht="20.25" customHeight="1" x14ac:dyDescent="0.25">
      <c r="A21" s="135" t="s">
        <v>230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42">
        <v>15000</v>
      </c>
      <c r="R21" s="140">
        <v>2200</v>
      </c>
      <c r="S21" s="141">
        <f t="shared" si="0"/>
        <v>33000000</v>
      </c>
    </row>
    <row r="22" spans="1:19" x14ac:dyDescent="0.25">
      <c r="A22" s="135" t="s">
        <v>132</v>
      </c>
      <c r="B22" s="132">
        <f>B20*5</f>
        <v>19800</v>
      </c>
      <c r="C22" s="132"/>
      <c r="D22" s="132"/>
      <c r="E22" s="132">
        <f>330*5</f>
        <v>1650</v>
      </c>
      <c r="F22" s="132"/>
      <c r="G22" s="132">
        <f>110*5</f>
        <v>550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42">
        <v>22000</v>
      </c>
      <c r="R22" s="140">
        <v>100</v>
      </c>
      <c r="S22" s="141">
        <f t="shared" si="0"/>
        <v>2200000</v>
      </c>
    </row>
    <row r="23" spans="1:19" x14ac:dyDescent="0.25">
      <c r="A23" s="135" t="s">
        <v>133</v>
      </c>
      <c r="B23" s="132">
        <v>15840</v>
      </c>
      <c r="C23" s="132">
        <v>15840</v>
      </c>
      <c r="D23" s="132"/>
      <c r="E23" s="132">
        <f>330*4</f>
        <v>1320</v>
      </c>
      <c r="F23" s="132"/>
      <c r="G23" s="132">
        <f>110*4</f>
        <v>440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42">
        <v>33440</v>
      </c>
      <c r="R23" s="140">
        <v>100</v>
      </c>
      <c r="S23" s="141">
        <f t="shared" si="0"/>
        <v>3344000</v>
      </c>
    </row>
    <row r="24" spans="1:19" ht="28.5" x14ac:dyDescent="0.25">
      <c r="A24" s="135" t="s">
        <v>134</v>
      </c>
      <c r="B24" s="132"/>
      <c r="C24" s="132"/>
      <c r="D24" s="132">
        <v>165</v>
      </c>
      <c r="E24" s="132">
        <v>330</v>
      </c>
      <c r="F24" s="132">
        <v>330</v>
      </c>
      <c r="G24" s="132">
        <v>110</v>
      </c>
      <c r="H24" s="132">
        <v>110</v>
      </c>
      <c r="I24" s="132">
        <v>50</v>
      </c>
      <c r="J24" s="132">
        <v>50</v>
      </c>
      <c r="K24" s="132">
        <v>50</v>
      </c>
      <c r="L24" s="132">
        <v>150</v>
      </c>
      <c r="M24" s="132"/>
      <c r="N24" s="132"/>
      <c r="O24" s="132"/>
      <c r="P24" s="132"/>
      <c r="Q24" s="139">
        <v>1345</v>
      </c>
      <c r="R24" s="140">
        <v>1700</v>
      </c>
      <c r="S24" s="186">
        <f t="shared" si="0"/>
        <v>2286500</v>
      </c>
    </row>
    <row r="25" spans="1:19" ht="28.5" x14ac:dyDescent="0.25">
      <c r="A25" s="135" t="s">
        <v>135</v>
      </c>
      <c r="B25" s="132">
        <f>3960*5</f>
        <v>19800</v>
      </c>
      <c r="C25" s="132">
        <f>3960*5</f>
        <v>19800</v>
      </c>
      <c r="D25" s="132"/>
      <c r="E25" s="132">
        <f>330*5</f>
        <v>1650</v>
      </c>
      <c r="F25" s="132"/>
      <c r="G25" s="132">
        <f>110*5</f>
        <v>550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42">
        <v>41800</v>
      </c>
      <c r="R25" s="140">
        <v>250</v>
      </c>
      <c r="S25" s="141">
        <f t="shared" si="0"/>
        <v>10450000</v>
      </c>
    </row>
    <row r="26" spans="1:19" ht="28.5" x14ac:dyDescent="0.25">
      <c r="A26" s="135" t="s">
        <v>136</v>
      </c>
      <c r="B26" s="132">
        <f t="shared" ref="B26" si="6">3600+360</f>
        <v>3960</v>
      </c>
      <c r="C26" s="132"/>
      <c r="D26" s="132"/>
      <c r="E26" s="132">
        <v>330</v>
      </c>
      <c r="F26" s="132"/>
      <c r="G26" s="132">
        <v>110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42">
        <v>4400</v>
      </c>
      <c r="R26" s="140">
        <v>600</v>
      </c>
      <c r="S26" s="141">
        <f t="shared" si="0"/>
        <v>2640000</v>
      </c>
    </row>
    <row r="27" spans="1:19" ht="25.5" x14ac:dyDescent="0.25">
      <c r="A27" s="136" t="s">
        <v>137</v>
      </c>
      <c r="B27" s="132">
        <f>3960*5</f>
        <v>19800</v>
      </c>
      <c r="C27" s="132">
        <f>3960*5</f>
        <v>19800</v>
      </c>
      <c r="D27" s="132">
        <f>165*5</f>
        <v>825</v>
      </c>
      <c r="E27" s="132">
        <f>330*5</f>
        <v>1650</v>
      </c>
      <c r="F27" s="132">
        <f>330*5</f>
        <v>1650</v>
      </c>
      <c r="G27" s="132">
        <f>110*5</f>
        <v>550</v>
      </c>
      <c r="H27" s="132">
        <f>110*5</f>
        <v>550</v>
      </c>
      <c r="I27" s="132"/>
      <c r="J27" s="132"/>
      <c r="K27" s="132"/>
      <c r="L27" s="132"/>
      <c r="M27" s="132"/>
      <c r="N27" s="132"/>
      <c r="O27" s="132"/>
      <c r="P27" s="132"/>
      <c r="Q27" s="142">
        <v>44825</v>
      </c>
      <c r="R27" s="140">
        <v>400</v>
      </c>
      <c r="S27" s="141">
        <f t="shared" si="0"/>
        <v>17930000</v>
      </c>
    </row>
    <row r="28" spans="1:19" ht="15.75" thickBot="1" x14ac:dyDescent="0.3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44"/>
      <c r="R28" s="144"/>
      <c r="S28" s="145">
        <f>SUM(S3:S27)</f>
        <v>426979400</v>
      </c>
    </row>
  </sheetData>
  <mergeCells count="1">
    <mergeCell ref="A1:A2"/>
  </mergeCells>
  <pageMargins left="0.31496062992125984" right="0.31496062992125984" top="0.74803149606299213" bottom="0.74803149606299213" header="0.31496062992125984" footer="0.31496062992125984"/>
  <pageSetup paperSize="5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22"/>
  <sheetViews>
    <sheetView view="pageBreakPreview" topLeftCell="A87" zoomScaleNormal="90" zoomScaleSheetLayoutView="100" workbookViewId="0">
      <selection activeCell="J134" sqref="J134"/>
    </sheetView>
  </sheetViews>
  <sheetFormatPr defaultRowHeight="14.25" x14ac:dyDescent="0.25"/>
  <cols>
    <col min="1" max="1" width="5.85546875" style="25" customWidth="1"/>
    <col min="2" max="2" width="15.28515625" style="51" customWidth="1"/>
    <col min="3" max="3" width="58.85546875" style="25" customWidth="1"/>
    <col min="4" max="4" width="10.28515625" style="51" customWidth="1"/>
    <col min="5" max="5" width="8.7109375" style="51" customWidth="1"/>
    <col min="6" max="6" width="12.42578125" style="51" customWidth="1"/>
    <col min="7" max="7" width="14.42578125" style="55" customWidth="1"/>
    <col min="8" max="8" width="20.42578125" style="55" customWidth="1"/>
    <col min="9" max="9" width="16.7109375" style="51" customWidth="1"/>
    <col min="10" max="10" width="18" style="51" customWidth="1"/>
    <col min="11" max="11" width="16" style="206" customWidth="1"/>
    <col min="12" max="12" width="17.5703125" style="206" customWidth="1"/>
    <col min="13" max="13" width="15" style="206" customWidth="1"/>
    <col min="14" max="14" width="15.42578125" style="206" customWidth="1"/>
    <col min="15" max="15" width="15.5703125" style="206" customWidth="1"/>
    <col min="16" max="16" width="15.28515625" style="206" customWidth="1"/>
    <col min="17" max="17" width="15.85546875" style="206" customWidth="1"/>
    <col min="18" max="18" width="12.42578125" style="206" customWidth="1"/>
    <col min="19" max="19" width="15.28515625" style="206" customWidth="1"/>
    <col min="20" max="20" width="13.85546875" style="206" customWidth="1"/>
    <col min="21" max="21" width="16.28515625" style="51" customWidth="1"/>
    <col min="22" max="22" width="18" style="25" customWidth="1"/>
    <col min="23" max="29" width="5.42578125" style="25" customWidth="1"/>
    <col min="30" max="33" width="5.140625" style="25" customWidth="1"/>
    <col min="34" max="16384" width="9.140625" style="25"/>
  </cols>
  <sheetData>
    <row r="1" spans="1:34" ht="15" customHeight="1" x14ac:dyDescent="0.25">
      <c r="A1" s="250" t="s">
        <v>191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34" ht="15" customHeight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1:34" ht="15" customHeight="1" x14ac:dyDescent="0.25">
      <c r="A3" s="250" t="s">
        <v>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34" ht="15" customHeight="1" x14ac:dyDescent="0.25">
      <c r="A4" s="250" t="s">
        <v>50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34" ht="1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91"/>
    </row>
    <row r="6" spans="1:34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34" x14ac:dyDescent="0.2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</row>
    <row r="8" spans="1:34" x14ac:dyDescent="0.25">
      <c r="A8" s="253" t="s">
        <v>192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34" x14ac:dyDescent="0.25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</row>
    <row r="10" spans="1:34" x14ac:dyDescent="0.25">
      <c r="A10" s="267" t="s">
        <v>59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9" t="s">
        <v>193</v>
      </c>
      <c r="L10" s="270"/>
      <c r="M10" s="270"/>
      <c r="N10" s="270"/>
      <c r="O10" s="270"/>
      <c r="P10" s="270"/>
      <c r="Q10" s="270"/>
      <c r="R10" s="270"/>
      <c r="S10" s="270"/>
      <c r="T10" s="270"/>
      <c r="U10" s="270"/>
    </row>
    <row r="11" spans="1:34" ht="28.5" x14ac:dyDescent="0.25">
      <c r="A11" s="26" t="s">
        <v>60</v>
      </c>
      <c r="B11" s="26" t="s">
        <v>61</v>
      </c>
      <c r="C11" s="26" t="s">
        <v>62</v>
      </c>
      <c r="D11" s="26" t="s">
        <v>6</v>
      </c>
      <c r="E11" s="263" t="s">
        <v>63</v>
      </c>
      <c r="F11" s="264"/>
      <c r="G11" s="264"/>
      <c r="H11" s="27" t="s">
        <v>64</v>
      </c>
      <c r="I11" s="26" t="s">
        <v>7</v>
      </c>
      <c r="J11" s="263" t="s">
        <v>65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34" x14ac:dyDescent="0.25">
      <c r="A12" s="28">
        <v>1</v>
      </c>
      <c r="B12" s="30">
        <v>2</v>
      </c>
      <c r="C12" s="30">
        <v>3</v>
      </c>
      <c r="D12" s="30">
        <v>4</v>
      </c>
      <c r="E12" s="266">
        <v>5</v>
      </c>
      <c r="F12" s="265"/>
      <c r="G12" s="265"/>
      <c r="H12" s="110">
        <v>6</v>
      </c>
      <c r="I12" s="30">
        <v>7</v>
      </c>
      <c r="J12" s="30">
        <v>8</v>
      </c>
      <c r="K12" s="200">
        <v>9</v>
      </c>
      <c r="L12" s="200">
        <v>10</v>
      </c>
      <c r="M12" s="200">
        <v>11</v>
      </c>
      <c r="N12" s="200">
        <v>12</v>
      </c>
      <c r="O12" s="200">
        <v>13</v>
      </c>
      <c r="P12" s="200">
        <v>14</v>
      </c>
      <c r="Q12" s="200">
        <v>15</v>
      </c>
      <c r="R12" s="200">
        <v>16</v>
      </c>
      <c r="S12" s="200">
        <v>17</v>
      </c>
      <c r="T12" s="200">
        <v>18</v>
      </c>
      <c r="U12" s="30">
        <v>19</v>
      </c>
    </row>
    <row r="13" spans="1:34" s="34" customFormat="1" ht="15" x14ac:dyDescent="0.25">
      <c r="A13" s="28">
        <v>2</v>
      </c>
      <c r="B13" s="32"/>
      <c r="C13" s="32"/>
      <c r="D13" s="32"/>
      <c r="E13" s="32" t="s">
        <v>66</v>
      </c>
      <c r="F13" s="32" t="s">
        <v>67</v>
      </c>
      <c r="G13" s="33" t="s">
        <v>68</v>
      </c>
      <c r="H13" s="33"/>
      <c r="I13" s="32"/>
      <c r="J13" s="32" t="s">
        <v>69</v>
      </c>
      <c r="K13" s="201" t="s">
        <v>70</v>
      </c>
      <c r="L13" s="201" t="s">
        <v>71</v>
      </c>
      <c r="M13" s="201" t="s">
        <v>72</v>
      </c>
      <c r="N13" s="201" t="s">
        <v>73</v>
      </c>
      <c r="O13" s="201" t="s">
        <v>74</v>
      </c>
      <c r="P13" s="201" t="s">
        <v>75</v>
      </c>
      <c r="Q13" s="201" t="s">
        <v>76</v>
      </c>
      <c r="R13" s="201" t="s">
        <v>77</v>
      </c>
      <c r="S13" s="201" t="s">
        <v>78</v>
      </c>
      <c r="T13" s="201" t="s">
        <v>79</v>
      </c>
      <c r="U13" s="32" t="s">
        <v>80</v>
      </c>
    </row>
    <row r="14" spans="1:34" ht="30" x14ac:dyDescent="0.25">
      <c r="A14" s="28">
        <v>3</v>
      </c>
      <c r="B14" s="36" t="s">
        <v>115</v>
      </c>
      <c r="C14" s="35" t="s">
        <v>113</v>
      </c>
      <c r="D14" s="6" t="s">
        <v>114</v>
      </c>
      <c r="E14" s="36"/>
      <c r="F14" s="36"/>
      <c r="G14" s="37"/>
      <c r="H14" s="150">
        <f>SUM(H15:H39)</f>
        <v>428779575</v>
      </c>
      <c r="I14" s="36" t="s">
        <v>118</v>
      </c>
      <c r="J14" s="36">
        <f t="shared" ref="J14:U14" si="0">SUM(J15:J38)</f>
        <v>24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  <c r="R14" s="202">
        <f t="shared" si="0"/>
        <v>0</v>
      </c>
      <c r="S14" s="202">
        <f t="shared" si="0"/>
        <v>0</v>
      </c>
      <c r="T14" s="202">
        <f t="shared" si="0"/>
        <v>0</v>
      </c>
      <c r="U14" s="36">
        <f t="shared" si="0"/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ht="15.75" x14ac:dyDescent="0.25">
      <c r="A15" s="28">
        <v>4</v>
      </c>
      <c r="B15" s="26"/>
      <c r="C15" s="49" t="s">
        <v>196</v>
      </c>
      <c r="D15" s="44"/>
      <c r="E15" s="93">
        <v>19430</v>
      </c>
      <c r="F15" s="44" t="s">
        <v>83</v>
      </c>
      <c r="G15" s="50">
        <v>2800</v>
      </c>
      <c r="H15" s="50">
        <f>E15*G15</f>
        <v>54404000</v>
      </c>
      <c r="I15" s="44"/>
      <c r="J15" s="92">
        <v>1</v>
      </c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44"/>
    </row>
    <row r="16" spans="1:34" ht="15.75" x14ac:dyDescent="0.25">
      <c r="A16" s="28">
        <v>6</v>
      </c>
      <c r="B16" s="26"/>
      <c r="C16" s="49" t="s">
        <v>119</v>
      </c>
      <c r="D16" s="44"/>
      <c r="E16" s="93">
        <v>5005</v>
      </c>
      <c r="F16" s="44" t="s">
        <v>138</v>
      </c>
      <c r="G16" s="50">
        <v>450</v>
      </c>
      <c r="H16" s="50">
        <f t="shared" ref="H16:H39" si="1">E16*G16</f>
        <v>2252250</v>
      </c>
      <c r="I16" s="44"/>
      <c r="J16" s="92">
        <v>1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44"/>
    </row>
    <row r="17" spans="1:21" ht="15.75" x14ac:dyDescent="0.25">
      <c r="A17" s="28">
        <v>7</v>
      </c>
      <c r="B17" s="26"/>
      <c r="C17" s="49" t="s">
        <v>120</v>
      </c>
      <c r="D17" s="44"/>
      <c r="E17" s="93">
        <v>15470</v>
      </c>
      <c r="F17" s="44" t="s">
        <v>138</v>
      </c>
      <c r="G17" s="50">
        <v>500</v>
      </c>
      <c r="H17" s="50">
        <f t="shared" si="1"/>
        <v>7735000</v>
      </c>
      <c r="I17" s="44"/>
      <c r="J17" s="92">
        <v>1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44"/>
    </row>
    <row r="18" spans="1:21" ht="15.75" x14ac:dyDescent="0.25">
      <c r="A18" s="28">
        <v>8</v>
      </c>
      <c r="B18" s="26"/>
      <c r="C18" s="49" t="s">
        <v>121</v>
      </c>
      <c r="D18" s="44"/>
      <c r="E18" s="93">
        <v>4400</v>
      </c>
      <c r="F18" s="44" t="s">
        <v>138</v>
      </c>
      <c r="G18" s="50">
        <v>550</v>
      </c>
      <c r="H18" s="50">
        <f t="shared" si="1"/>
        <v>2420000</v>
      </c>
      <c r="I18" s="44"/>
      <c r="J18" s="92">
        <v>1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44"/>
    </row>
    <row r="19" spans="1:21" ht="15.75" x14ac:dyDescent="0.25">
      <c r="A19" s="28">
        <v>9</v>
      </c>
      <c r="B19" s="26"/>
      <c r="C19" s="49" t="s">
        <v>122</v>
      </c>
      <c r="D19" s="44"/>
      <c r="E19" s="93">
        <v>11755</v>
      </c>
      <c r="F19" s="44" t="s">
        <v>138</v>
      </c>
      <c r="G19" s="50">
        <v>1600</v>
      </c>
      <c r="H19" s="50">
        <f t="shared" si="1"/>
        <v>18808000</v>
      </c>
      <c r="I19" s="44"/>
      <c r="J19" s="92">
        <v>1</v>
      </c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44"/>
    </row>
    <row r="20" spans="1:21" ht="15.75" x14ac:dyDescent="0.25">
      <c r="A20" s="28">
        <v>11</v>
      </c>
      <c r="B20" s="26"/>
      <c r="C20" s="49" t="s">
        <v>123</v>
      </c>
      <c r="D20" s="44"/>
      <c r="E20" s="93">
        <v>4565</v>
      </c>
      <c r="F20" s="44" t="s">
        <v>138</v>
      </c>
      <c r="G20" s="50">
        <v>1600</v>
      </c>
      <c r="H20" s="50">
        <f t="shared" si="1"/>
        <v>7304000</v>
      </c>
      <c r="I20" s="44"/>
      <c r="J20" s="92">
        <v>1</v>
      </c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44"/>
    </row>
    <row r="21" spans="1:21" ht="15.75" x14ac:dyDescent="0.25">
      <c r="A21" s="28">
        <v>11</v>
      </c>
      <c r="B21" s="26"/>
      <c r="C21" s="135" t="s">
        <v>225</v>
      </c>
      <c r="D21" s="44"/>
      <c r="E21" s="93">
        <v>11000</v>
      </c>
      <c r="F21" s="44" t="s">
        <v>138</v>
      </c>
      <c r="G21" s="50">
        <v>2200</v>
      </c>
      <c r="H21" s="50">
        <f t="shared" si="1"/>
        <v>24200000</v>
      </c>
      <c r="I21" s="44"/>
      <c r="J21" s="92">
        <v>1</v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44"/>
    </row>
    <row r="22" spans="1:21" ht="15.75" x14ac:dyDescent="0.25">
      <c r="A22" s="28"/>
      <c r="B22" s="26"/>
      <c r="C22" s="151" t="s">
        <v>226</v>
      </c>
      <c r="D22" s="44"/>
      <c r="E22" s="93">
        <v>15716</v>
      </c>
      <c r="F22" s="44" t="s">
        <v>138</v>
      </c>
      <c r="G22" s="50">
        <v>200</v>
      </c>
      <c r="H22" s="50">
        <f t="shared" si="1"/>
        <v>3143200</v>
      </c>
      <c r="I22" s="44"/>
      <c r="J22" s="92">
        <v>1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44"/>
    </row>
    <row r="23" spans="1:21" ht="15.75" x14ac:dyDescent="0.25">
      <c r="A23" s="28">
        <v>12</v>
      </c>
      <c r="B23" s="26"/>
      <c r="C23" s="49" t="s">
        <v>124</v>
      </c>
      <c r="D23" s="44"/>
      <c r="E23" s="93">
        <v>4400</v>
      </c>
      <c r="F23" s="44" t="s">
        <v>138</v>
      </c>
      <c r="G23" s="50">
        <v>650</v>
      </c>
      <c r="H23" s="50">
        <f t="shared" si="1"/>
        <v>2860000</v>
      </c>
      <c r="I23" s="44"/>
      <c r="J23" s="92">
        <v>1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44"/>
    </row>
    <row r="24" spans="1:21" ht="15.75" x14ac:dyDescent="0.25">
      <c r="A24" s="28">
        <v>13</v>
      </c>
      <c r="B24" s="26"/>
      <c r="C24" s="49" t="s">
        <v>125</v>
      </c>
      <c r="D24" s="44"/>
      <c r="E24" s="93">
        <v>3960</v>
      </c>
      <c r="F24" s="44" t="s">
        <v>138</v>
      </c>
      <c r="G24" s="50">
        <v>350</v>
      </c>
      <c r="H24" s="50">
        <f t="shared" si="1"/>
        <v>1386000</v>
      </c>
      <c r="I24" s="44"/>
      <c r="J24" s="92">
        <v>1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44"/>
    </row>
    <row r="25" spans="1:21" ht="15.75" x14ac:dyDescent="0.25">
      <c r="A25" s="28">
        <v>14</v>
      </c>
      <c r="B25" s="26"/>
      <c r="C25" s="49" t="s">
        <v>202</v>
      </c>
      <c r="D25" s="44"/>
      <c r="E25" s="93">
        <v>605</v>
      </c>
      <c r="F25" s="44" t="s">
        <v>138</v>
      </c>
      <c r="G25" s="50">
        <v>76800</v>
      </c>
      <c r="H25" s="50">
        <f t="shared" si="1"/>
        <v>46464000</v>
      </c>
      <c r="I25" s="44"/>
      <c r="J25" s="92">
        <v>1</v>
      </c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44"/>
    </row>
    <row r="26" spans="1:21" ht="15.75" x14ac:dyDescent="0.25">
      <c r="A26" s="28">
        <v>15</v>
      </c>
      <c r="B26" s="26"/>
      <c r="C26" s="49" t="s">
        <v>126</v>
      </c>
      <c r="D26" s="44"/>
      <c r="E26" s="93">
        <v>800</v>
      </c>
      <c r="F26" s="44" t="s">
        <v>138</v>
      </c>
      <c r="G26" s="50">
        <v>5500</v>
      </c>
      <c r="H26" s="50">
        <f t="shared" si="1"/>
        <v>4400000</v>
      </c>
      <c r="I26" s="44"/>
      <c r="J26" s="92">
        <v>1</v>
      </c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44"/>
    </row>
    <row r="27" spans="1:21" ht="15.75" x14ac:dyDescent="0.25">
      <c r="A27" s="28">
        <v>16</v>
      </c>
      <c r="B27" s="26"/>
      <c r="C27" s="49" t="s">
        <v>127</v>
      </c>
      <c r="D27" s="44"/>
      <c r="E27" s="93">
        <v>605</v>
      </c>
      <c r="F27" s="44" t="s">
        <v>138</v>
      </c>
      <c r="G27" s="50">
        <v>25000</v>
      </c>
      <c r="H27" s="50">
        <f t="shared" si="1"/>
        <v>15125000</v>
      </c>
      <c r="I27" s="44"/>
      <c r="J27" s="92">
        <v>1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44"/>
    </row>
    <row r="28" spans="1:21" ht="15.75" x14ac:dyDescent="0.25">
      <c r="A28" s="28">
        <v>17</v>
      </c>
      <c r="B28" s="26"/>
      <c r="C28" s="49" t="s">
        <v>128</v>
      </c>
      <c r="D28" s="44"/>
      <c r="E28" s="93">
        <v>21015</v>
      </c>
      <c r="F28" s="44" t="s">
        <v>83</v>
      </c>
      <c r="G28" s="50">
        <v>4025</v>
      </c>
      <c r="H28" s="50">
        <f t="shared" si="1"/>
        <v>84585375</v>
      </c>
      <c r="I28" s="44"/>
      <c r="J28" s="92">
        <v>1</v>
      </c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44"/>
    </row>
    <row r="29" spans="1:21" ht="15.75" x14ac:dyDescent="0.25">
      <c r="A29" s="28">
        <v>18</v>
      </c>
      <c r="B29" s="26"/>
      <c r="C29" s="49" t="s">
        <v>129</v>
      </c>
      <c r="D29" s="44"/>
      <c r="E29" s="93">
        <v>29270</v>
      </c>
      <c r="F29" s="44" t="s">
        <v>82</v>
      </c>
      <c r="G29" s="50">
        <v>1950</v>
      </c>
      <c r="H29" s="50">
        <f t="shared" si="1"/>
        <v>57076500</v>
      </c>
      <c r="I29" s="44"/>
      <c r="J29" s="92">
        <v>1</v>
      </c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44"/>
    </row>
    <row r="30" spans="1:21" ht="15.75" x14ac:dyDescent="0.25">
      <c r="A30" s="28">
        <v>18</v>
      </c>
      <c r="B30" s="26"/>
      <c r="C30" s="136" t="s">
        <v>231</v>
      </c>
      <c r="D30" s="44"/>
      <c r="E30" s="93">
        <v>1940</v>
      </c>
      <c r="F30" s="44" t="s">
        <v>82</v>
      </c>
      <c r="G30" s="50">
        <v>2700</v>
      </c>
      <c r="H30" s="50">
        <f t="shared" si="1"/>
        <v>5238000</v>
      </c>
      <c r="I30" s="44"/>
      <c r="J30" s="92">
        <v>1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44"/>
    </row>
    <row r="31" spans="1:21" ht="15.75" x14ac:dyDescent="0.25">
      <c r="A31" s="28">
        <v>19</v>
      </c>
      <c r="B31" s="26"/>
      <c r="C31" s="49" t="s">
        <v>130</v>
      </c>
      <c r="D31" s="44"/>
      <c r="E31" s="93">
        <v>8965</v>
      </c>
      <c r="F31" s="44" t="s">
        <v>138</v>
      </c>
      <c r="G31" s="50">
        <v>250</v>
      </c>
      <c r="H31" s="50">
        <f t="shared" si="1"/>
        <v>2241250</v>
      </c>
      <c r="I31" s="44"/>
      <c r="J31" s="92">
        <v>1</v>
      </c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44"/>
    </row>
    <row r="32" spans="1:21" ht="15.75" x14ac:dyDescent="0.25">
      <c r="A32" s="28">
        <v>20</v>
      </c>
      <c r="B32" s="26"/>
      <c r="C32" s="49" t="s">
        <v>131</v>
      </c>
      <c r="D32" s="44"/>
      <c r="E32" s="93">
        <v>15715</v>
      </c>
      <c r="F32" s="44" t="s">
        <v>138</v>
      </c>
      <c r="G32" s="50">
        <v>1100</v>
      </c>
      <c r="H32" s="50">
        <f t="shared" si="1"/>
        <v>17286500</v>
      </c>
      <c r="I32" s="44"/>
      <c r="J32" s="92">
        <v>1</v>
      </c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44"/>
    </row>
    <row r="33" spans="1:22" ht="15.75" x14ac:dyDescent="0.25">
      <c r="A33" s="28">
        <v>21</v>
      </c>
      <c r="B33" s="26"/>
      <c r="C33" s="49" t="s">
        <v>230</v>
      </c>
      <c r="D33" s="44"/>
      <c r="E33" s="93">
        <v>15000</v>
      </c>
      <c r="F33" s="44" t="s">
        <v>138</v>
      </c>
      <c r="G33" s="50">
        <v>2200</v>
      </c>
      <c r="H33" s="50">
        <f t="shared" si="1"/>
        <v>33000000</v>
      </c>
      <c r="I33" s="44"/>
      <c r="J33" s="92">
        <v>1</v>
      </c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44"/>
    </row>
    <row r="34" spans="1:22" ht="15.75" x14ac:dyDescent="0.25">
      <c r="A34" s="28">
        <v>22</v>
      </c>
      <c r="B34" s="26"/>
      <c r="C34" s="49" t="s">
        <v>132</v>
      </c>
      <c r="D34" s="44"/>
      <c r="E34" s="93">
        <v>22000</v>
      </c>
      <c r="F34" s="44" t="s">
        <v>83</v>
      </c>
      <c r="G34" s="50">
        <v>100</v>
      </c>
      <c r="H34" s="50">
        <f t="shared" si="1"/>
        <v>2200000</v>
      </c>
      <c r="I34" s="44"/>
      <c r="J34" s="92">
        <v>1</v>
      </c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44"/>
    </row>
    <row r="35" spans="1:22" ht="15.75" x14ac:dyDescent="0.25">
      <c r="A35" s="28">
        <v>23</v>
      </c>
      <c r="B35" s="26"/>
      <c r="C35" s="49" t="s">
        <v>133</v>
      </c>
      <c r="D35" s="44"/>
      <c r="E35" s="93">
        <v>33440</v>
      </c>
      <c r="F35" s="44" t="s">
        <v>83</v>
      </c>
      <c r="G35" s="50">
        <v>100</v>
      </c>
      <c r="H35" s="50">
        <f t="shared" si="1"/>
        <v>3344000</v>
      </c>
      <c r="I35" s="44"/>
      <c r="J35" s="92">
        <v>1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44"/>
    </row>
    <row r="36" spans="1:22" ht="15.75" x14ac:dyDescent="0.25">
      <c r="A36" s="28">
        <v>24</v>
      </c>
      <c r="B36" s="26"/>
      <c r="C36" s="49" t="s">
        <v>134</v>
      </c>
      <c r="D36" s="44"/>
      <c r="E36" s="93">
        <v>1345</v>
      </c>
      <c r="F36" s="44" t="s">
        <v>83</v>
      </c>
      <c r="G36" s="50">
        <v>1700</v>
      </c>
      <c r="H36" s="50">
        <f t="shared" si="1"/>
        <v>2286500</v>
      </c>
      <c r="I36" s="44"/>
      <c r="J36" s="92">
        <v>1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44"/>
    </row>
    <row r="37" spans="1:22" ht="15.75" x14ac:dyDescent="0.25">
      <c r="A37" s="28">
        <v>25</v>
      </c>
      <c r="B37" s="26"/>
      <c r="C37" s="49" t="s">
        <v>135</v>
      </c>
      <c r="D37" s="44"/>
      <c r="E37" s="93">
        <v>41800</v>
      </c>
      <c r="F37" s="44" t="s">
        <v>138</v>
      </c>
      <c r="G37" s="50">
        <v>250</v>
      </c>
      <c r="H37" s="50">
        <f t="shared" si="1"/>
        <v>10450000</v>
      </c>
      <c r="I37" s="44"/>
      <c r="J37" s="92">
        <v>1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44"/>
    </row>
    <row r="38" spans="1:22" ht="15.75" x14ac:dyDescent="0.25">
      <c r="A38" s="28">
        <v>26</v>
      </c>
      <c r="B38" s="26"/>
      <c r="C38" s="49" t="s">
        <v>136</v>
      </c>
      <c r="D38" s="44"/>
      <c r="E38" s="93">
        <v>4400</v>
      </c>
      <c r="F38" s="44" t="s">
        <v>138</v>
      </c>
      <c r="G38" s="50">
        <v>600</v>
      </c>
      <c r="H38" s="50">
        <f t="shared" si="1"/>
        <v>2640000</v>
      </c>
      <c r="I38" s="44"/>
      <c r="J38" s="92">
        <v>1</v>
      </c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44"/>
    </row>
    <row r="39" spans="1:22" ht="15.75" x14ac:dyDescent="0.25">
      <c r="A39" s="28">
        <v>24</v>
      </c>
      <c r="B39" s="26"/>
      <c r="C39" s="49" t="s">
        <v>137</v>
      </c>
      <c r="D39" s="44"/>
      <c r="E39" s="93">
        <v>44825</v>
      </c>
      <c r="F39" s="44" t="s">
        <v>83</v>
      </c>
      <c r="G39" s="50">
        <v>400</v>
      </c>
      <c r="H39" s="50">
        <f t="shared" si="1"/>
        <v>17930000</v>
      </c>
      <c r="I39" s="44"/>
      <c r="J39" s="92">
        <v>1</v>
      </c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44"/>
    </row>
    <row r="40" spans="1:22" s="102" customFormat="1" ht="30" x14ac:dyDescent="0.25">
      <c r="A40" s="28">
        <v>28</v>
      </c>
      <c r="B40" s="95" t="s">
        <v>115</v>
      </c>
      <c r="C40" s="96" t="s">
        <v>113</v>
      </c>
      <c r="D40" s="97" t="s">
        <v>114</v>
      </c>
      <c r="E40" s="98"/>
      <c r="F40" s="99"/>
      <c r="G40" s="100"/>
      <c r="H40" s="103">
        <f>SUM(H42:H133)</f>
        <v>42779600</v>
      </c>
      <c r="I40" s="101" t="s">
        <v>39</v>
      </c>
      <c r="J40" s="204">
        <f t="shared" ref="J40:T40" si="2">SUM(J42:J131)</f>
        <v>12177175</v>
      </c>
      <c r="K40" s="204">
        <f t="shared" si="2"/>
        <v>5900779.166666666</v>
      </c>
      <c r="L40" s="204">
        <f t="shared" si="2"/>
        <v>3636950</v>
      </c>
      <c r="M40" s="204">
        <f t="shared" si="2"/>
        <v>3530000</v>
      </c>
      <c r="N40" s="204">
        <f t="shared" si="2"/>
        <v>340000</v>
      </c>
      <c r="O40" s="204">
        <f t="shared" si="2"/>
        <v>4481779.166666666</v>
      </c>
      <c r="P40" s="204">
        <f t="shared" si="2"/>
        <v>6630500</v>
      </c>
      <c r="Q40" s="204">
        <f t="shared" si="2"/>
        <v>3135750</v>
      </c>
      <c r="R40" s="204">
        <f t="shared" si="2"/>
        <v>806666.66666666663</v>
      </c>
      <c r="S40" s="204">
        <f t="shared" si="2"/>
        <v>0</v>
      </c>
      <c r="T40" s="204">
        <f t="shared" si="2"/>
        <v>340000</v>
      </c>
      <c r="U40" s="214">
        <f>SUM(U42:U133)</f>
        <v>42779600</v>
      </c>
      <c r="V40" s="215">
        <f>U40-H40</f>
        <v>0</v>
      </c>
    </row>
    <row r="41" spans="1:22" x14ac:dyDescent="0.25">
      <c r="A41" s="28">
        <v>29</v>
      </c>
      <c r="B41" s="26"/>
      <c r="C41" s="49" t="s">
        <v>139</v>
      </c>
      <c r="D41" s="44"/>
      <c r="E41" s="44"/>
      <c r="F41" s="44"/>
      <c r="G41" s="50"/>
      <c r="H41" s="50"/>
      <c r="I41" s="44"/>
      <c r="J41" s="44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44"/>
    </row>
    <row r="42" spans="1:22" x14ac:dyDescent="0.25">
      <c r="A42" s="28">
        <v>30</v>
      </c>
      <c r="B42" s="26"/>
      <c r="C42" s="148" t="s">
        <v>203</v>
      </c>
      <c r="D42" s="44"/>
      <c r="E42" s="93">
        <v>300</v>
      </c>
      <c r="F42" s="44" t="s">
        <v>82</v>
      </c>
      <c r="G42" s="50">
        <v>3500</v>
      </c>
      <c r="H42" s="50">
        <f>E42*G42</f>
        <v>1050000</v>
      </c>
      <c r="I42" s="44"/>
      <c r="J42" s="44"/>
      <c r="K42" s="203">
        <f>H42/2</f>
        <v>525000</v>
      </c>
      <c r="L42" s="203"/>
      <c r="M42" s="203"/>
      <c r="N42" s="203"/>
      <c r="O42" s="203">
        <v>525000</v>
      </c>
      <c r="P42" s="203"/>
      <c r="Q42" s="203"/>
      <c r="R42" s="203"/>
      <c r="S42" s="203"/>
      <c r="T42" s="203"/>
      <c r="U42" s="212">
        <f t="shared" ref="U42:U73" si="3">SUM(I42:T42)</f>
        <v>1050000</v>
      </c>
      <c r="V42" s="194"/>
    </row>
    <row r="43" spans="1:22" x14ac:dyDescent="0.25">
      <c r="A43" s="28">
        <v>31</v>
      </c>
      <c r="B43" s="26"/>
      <c r="C43" s="148" t="s">
        <v>204</v>
      </c>
      <c r="D43" s="44"/>
      <c r="E43" s="93">
        <v>100</v>
      </c>
      <c r="F43" s="44" t="s">
        <v>82</v>
      </c>
      <c r="G43" s="50">
        <v>3500</v>
      </c>
      <c r="H43" s="50">
        <f t="shared" ref="H43:H114" si="4">E43*G43</f>
        <v>350000</v>
      </c>
      <c r="I43" s="44"/>
      <c r="J43" s="44"/>
      <c r="K43" s="203"/>
      <c r="L43" s="203"/>
      <c r="M43" s="203"/>
      <c r="N43" s="203"/>
      <c r="O43" s="203"/>
      <c r="P43" s="203">
        <f>H43</f>
        <v>350000</v>
      </c>
      <c r="Q43" s="203"/>
      <c r="R43" s="203"/>
      <c r="S43" s="203"/>
      <c r="T43" s="203"/>
      <c r="U43" s="212">
        <f t="shared" si="3"/>
        <v>350000</v>
      </c>
    </row>
    <row r="44" spans="1:22" x14ac:dyDescent="0.25">
      <c r="A44" s="28">
        <v>32</v>
      </c>
      <c r="B44" s="26"/>
      <c r="C44" s="49" t="s">
        <v>224</v>
      </c>
      <c r="D44" s="44"/>
      <c r="E44" s="149">
        <v>40</v>
      </c>
      <c r="F44" s="44" t="s">
        <v>82</v>
      </c>
      <c r="G44" s="50">
        <v>3500</v>
      </c>
      <c r="H44" s="50">
        <f t="shared" si="4"/>
        <v>140000</v>
      </c>
      <c r="I44" s="44"/>
      <c r="J44" s="44"/>
      <c r="K44" s="203"/>
      <c r="L44" s="203"/>
      <c r="M44" s="203"/>
      <c r="N44" s="203">
        <f>H44/2</f>
        <v>70000</v>
      </c>
      <c r="O44" s="203"/>
      <c r="P44" s="203"/>
      <c r="Q44" s="203"/>
      <c r="R44" s="203"/>
      <c r="S44" s="203"/>
      <c r="T44" s="203">
        <f>N44</f>
        <v>70000</v>
      </c>
      <c r="U44" s="212">
        <f t="shared" si="3"/>
        <v>140000</v>
      </c>
    </row>
    <row r="45" spans="1:22" x14ac:dyDescent="0.25">
      <c r="A45" s="28">
        <v>33</v>
      </c>
      <c r="B45" s="26"/>
      <c r="C45" s="148" t="s">
        <v>140</v>
      </c>
      <c r="D45" s="44"/>
      <c r="E45" s="149">
        <v>150</v>
      </c>
      <c r="F45" s="44" t="s">
        <v>82</v>
      </c>
      <c r="G45" s="50">
        <v>3500</v>
      </c>
      <c r="H45" s="195">
        <f t="shared" si="4"/>
        <v>525000</v>
      </c>
      <c r="I45" s="44"/>
      <c r="J45" s="212">
        <f>H45</f>
        <v>525000</v>
      </c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12">
        <f t="shared" si="3"/>
        <v>525000</v>
      </c>
    </row>
    <row r="46" spans="1:22" x14ac:dyDescent="0.25">
      <c r="A46" s="28">
        <v>46</v>
      </c>
      <c r="B46" s="26"/>
      <c r="C46" s="94" t="s">
        <v>146</v>
      </c>
      <c r="D46" s="44"/>
      <c r="E46" s="93">
        <v>100</v>
      </c>
      <c r="F46" s="44" t="s">
        <v>82</v>
      </c>
      <c r="G46" s="50">
        <v>3500</v>
      </c>
      <c r="H46" s="195">
        <f t="shared" si="4"/>
        <v>350000</v>
      </c>
      <c r="I46" s="44"/>
      <c r="J46" s="212">
        <f>H46/2</f>
        <v>175000</v>
      </c>
      <c r="K46" s="203"/>
      <c r="L46" s="203"/>
      <c r="M46" s="203"/>
      <c r="N46" s="203"/>
      <c r="O46" s="203"/>
      <c r="P46" s="203">
        <f>J46</f>
        <v>175000</v>
      </c>
      <c r="Q46" s="203"/>
      <c r="R46" s="203"/>
      <c r="S46" s="203"/>
      <c r="T46" s="203"/>
      <c r="U46" s="212">
        <f t="shared" si="3"/>
        <v>350000</v>
      </c>
    </row>
    <row r="47" spans="1:22" x14ac:dyDescent="0.25">
      <c r="A47" s="28">
        <v>36</v>
      </c>
      <c r="B47" s="26"/>
      <c r="C47" s="148" t="s">
        <v>141</v>
      </c>
      <c r="D47" s="44"/>
      <c r="E47" s="93">
        <f>330+110</f>
        <v>440</v>
      </c>
      <c r="F47" s="44" t="s">
        <v>138</v>
      </c>
      <c r="G47" s="50">
        <v>500</v>
      </c>
      <c r="H47" s="195">
        <f t="shared" si="4"/>
        <v>220000</v>
      </c>
      <c r="I47" s="44"/>
      <c r="J47" s="212">
        <f>H47</f>
        <v>220000</v>
      </c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12">
        <f t="shared" si="3"/>
        <v>220000</v>
      </c>
    </row>
    <row r="48" spans="1:22" x14ac:dyDescent="0.25">
      <c r="A48" s="28">
        <v>37</v>
      </c>
      <c r="B48" s="26"/>
      <c r="C48" s="148" t="s">
        <v>142</v>
      </c>
      <c r="D48" s="44"/>
      <c r="E48" s="93">
        <f t="shared" ref="E48:E49" si="5">330+110</f>
        <v>440</v>
      </c>
      <c r="F48" s="44" t="s">
        <v>138</v>
      </c>
      <c r="G48" s="50">
        <v>400</v>
      </c>
      <c r="H48" s="195">
        <f t="shared" si="4"/>
        <v>176000</v>
      </c>
      <c r="I48" s="44"/>
      <c r="J48" s="212">
        <f>H48</f>
        <v>176000</v>
      </c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12">
        <f t="shared" si="3"/>
        <v>176000</v>
      </c>
    </row>
    <row r="49" spans="1:21" x14ac:dyDescent="0.25">
      <c r="A49" s="28">
        <v>38</v>
      </c>
      <c r="B49" s="26"/>
      <c r="C49" s="148" t="s">
        <v>143</v>
      </c>
      <c r="D49" s="44"/>
      <c r="E49" s="93">
        <f t="shared" si="5"/>
        <v>440</v>
      </c>
      <c r="F49" s="44" t="s">
        <v>138</v>
      </c>
      <c r="G49" s="50">
        <v>250</v>
      </c>
      <c r="H49" s="195">
        <f t="shared" si="4"/>
        <v>110000</v>
      </c>
      <c r="I49" s="44"/>
      <c r="J49" s="212">
        <f>H49</f>
        <v>110000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12">
        <f t="shared" si="3"/>
        <v>110000</v>
      </c>
    </row>
    <row r="50" spans="1:21" x14ac:dyDescent="0.25">
      <c r="A50" s="28">
        <v>39</v>
      </c>
      <c r="B50" s="26"/>
      <c r="C50" s="148" t="s">
        <v>144</v>
      </c>
      <c r="D50" s="44"/>
      <c r="E50" s="93"/>
      <c r="F50" s="44"/>
      <c r="G50" s="50"/>
      <c r="H50" s="50">
        <f t="shared" si="4"/>
        <v>0</v>
      </c>
      <c r="I50" s="44"/>
      <c r="J50" s="44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12">
        <f t="shared" si="3"/>
        <v>0</v>
      </c>
    </row>
    <row r="51" spans="1:21" x14ac:dyDescent="0.25">
      <c r="A51" s="28">
        <v>40</v>
      </c>
      <c r="B51" s="26"/>
      <c r="C51" s="148" t="s">
        <v>203</v>
      </c>
      <c r="D51" s="44"/>
      <c r="E51" s="93">
        <v>150</v>
      </c>
      <c r="F51" s="44" t="s">
        <v>82</v>
      </c>
      <c r="G51" s="50">
        <v>3500</v>
      </c>
      <c r="H51" s="50">
        <f t="shared" si="4"/>
        <v>525000</v>
      </c>
      <c r="I51" s="44"/>
      <c r="J51" s="44"/>
      <c r="K51" s="203">
        <f>H51/2</f>
        <v>262500</v>
      </c>
      <c r="L51" s="203"/>
      <c r="M51" s="203"/>
      <c r="N51" s="203"/>
      <c r="O51" s="203">
        <f>K51</f>
        <v>262500</v>
      </c>
      <c r="P51" s="203"/>
      <c r="Q51" s="203"/>
      <c r="R51" s="203"/>
      <c r="S51" s="203"/>
      <c r="T51" s="203"/>
      <c r="U51" s="212">
        <f t="shared" si="3"/>
        <v>525000</v>
      </c>
    </row>
    <row r="52" spans="1:21" x14ac:dyDescent="0.25">
      <c r="A52" s="28">
        <v>41</v>
      </c>
      <c r="B52" s="26"/>
      <c r="C52" s="49" t="s">
        <v>204</v>
      </c>
      <c r="D52" s="44"/>
      <c r="E52" s="93">
        <v>50</v>
      </c>
      <c r="F52" s="44" t="s">
        <v>82</v>
      </c>
      <c r="G52" s="50">
        <v>3500</v>
      </c>
      <c r="H52" s="50">
        <f t="shared" si="4"/>
        <v>175000</v>
      </c>
      <c r="I52" s="44"/>
      <c r="J52" s="44"/>
      <c r="K52" s="203"/>
      <c r="L52" s="203"/>
      <c r="M52" s="203"/>
      <c r="N52" s="203"/>
      <c r="O52" s="203"/>
      <c r="P52" s="203">
        <f>H52</f>
        <v>175000</v>
      </c>
      <c r="Q52" s="203"/>
      <c r="R52" s="203"/>
      <c r="S52" s="203"/>
      <c r="T52" s="203"/>
      <c r="U52" s="212">
        <f t="shared" si="3"/>
        <v>175000</v>
      </c>
    </row>
    <row r="53" spans="1:21" x14ac:dyDescent="0.25">
      <c r="A53" s="28">
        <v>42</v>
      </c>
      <c r="B53" s="26"/>
      <c r="C53" s="49" t="s">
        <v>224</v>
      </c>
      <c r="D53" s="44"/>
      <c r="E53" s="93">
        <v>100</v>
      </c>
      <c r="F53" s="44" t="s">
        <v>82</v>
      </c>
      <c r="G53" s="50">
        <v>3500</v>
      </c>
      <c r="H53" s="50">
        <f t="shared" si="4"/>
        <v>350000</v>
      </c>
      <c r="I53" s="44"/>
      <c r="J53" s="44"/>
      <c r="K53" s="203"/>
      <c r="L53" s="203"/>
      <c r="M53" s="203"/>
      <c r="N53" s="203">
        <f>H53/2</f>
        <v>175000</v>
      </c>
      <c r="O53" s="203"/>
      <c r="P53" s="203"/>
      <c r="Q53" s="203"/>
      <c r="R53" s="203"/>
      <c r="S53" s="203"/>
      <c r="T53" s="203">
        <f>N53</f>
        <v>175000</v>
      </c>
      <c r="U53" s="212">
        <f t="shared" si="3"/>
        <v>350000</v>
      </c>
    </row>
    <row r="54" spans="1:21" x14ac:dyDescent="0.25">
      <c r="A54" s="28">
        <v>43</v>
      </c>
      <c r="B54" s="26"/>
      <c r="C54" s="49" t="s">
        <v>205</v>
      </c>
      <c r="D54" s="44"/>
      <c r="E54" s="93">
        <v>100</v>
      </c>
      <c r="F54" s="44" t="s">
        <v>82</v>
      </c>
      <c r="G54" s="50">
        <v>3500</v>
      </c>
      <c r="H54" s="50">
        <f t="shared" si="4"/>
        <v>350000</v>
      </c>
      <c r="I54" s="44"/>
      <c r="J54" s="44"/>
      <c r="K54" s="203">
        <f>H54/2</f>
        <v>175000</v>
      </c>
      <c r="L54" s="203"/>
      <c r="M54" s="203"/>
      <c r="N54" s="203"/>
      <c r="O54" s="203"/>
      <c r="P54" s="203"/>
      <c r="Q54" s="203">
        <f>K54</f>
        <v>175000</v>
      </c>
      <c r="R54" s="203"/>
      <c r="S54" s="203"/>
      <c r="T54" s="203"/>
      <c r="U54" s="212">
        <f t="shared" si="3"/>
        <v>350000</v>
      </c>
    </row>
    <row r="55" spans="1:21" x14ac:dyDescent="0.25">
      <c r="A55" s="28">
        <v>44</v>
      </c>
      <c r="B55" s="26"/>
      <c r="C55" s="49" t="s">
        <v>140</v>
      </c>
      <c r="D55" s="44"/>
      <c r="E55" s="93">
        <v>150</v>
      </c>
      <c r="F55" s="44" t="s">
        <v>82</v>
      </c>
      <c r="G55" s="50">
        <v>3500</v>
      </c>
      <c r="H55" s="195">
        <f t="shared" si="4"/>
        <v>525000</v>
      </c>
      <c r="I55" s="44"/>
      <c r="J55" s="212">
        <f>H55</f>
        <v>525000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12">
        <f t="shared" si="3"/>
        <v>525000</v>
      </c>
    </row>
    <row r="56" spans="1:21" x14ac:dyDescent="0.25">
      <c r="A56" s="28">
        <v>45</v>
      </c>
      <c r="B56" s="26"/>
      <c r="C56" s="49" t="s">
        <v>145</v>
      </c>
      <c r="D56" s="44"/>
      <c r="E56" s="93">
        <v>100</v>
      </c>
      <c r="F56" s="44" t="s">
        <v>82</v>
      </c>
      <c r="G56" s="50">
        <v>3500</v>
      </c>
      <c r="H56" s="195">
        <f t="shared" si="4"/>
        <v>350000</v>
      </c>
      <c r="I56" s="44"/>
      <c r="J56" s="212">
        <f>H56</f>
        <v>350000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12">
        <f t="shared" si="3"/>
        <v>350000</v>
      </c>
    </row>
    <row r="57" spans="1:21" x14ac:dyDescent="0.25">
      <c r="A57" s="28">
        <v>46</v>
      </c>
      <c r="B57" s="26"/>
      <c r="C57" s="94" t="s">
        <v>146</v>
      </c>
      <c r="D57" s="44"/>
      <c r="E57" s="93">
        <v>400</v>
      </c>
      <c r="F57" s="44" t="s">
        <v>82</v>
      </c>
      <c r="G57" s="50">
        <v>3500</v>
      </c>
      <c r="H57" s="195">
        <f t="shared" si="4"/>
        <v>1400000</v>
      </c>
      <c r="I57" s="44"/>
      <c r="J57" s="198">
        <f>H57/2</f>
        <v>700000</v>
      </c>
      <c r="K57" s="203"/>
      <c r="L57" s="203"/>
      <c r="M57" s="203"/>
      <c r="N57" s="203"/>
      <c r="O57" s="203"/>
      <c r="P57" s="203">
        <f>J57</f>
        <v>700000</v>
      </c>
      <c r="Q57" s="203"/>
      <c r="R57" s="203"/>
      <c r="S57" s="203"/>
      <c r="T57" s="203"/>
      <c r="U57" s="212">
        <f t="shared" si="3"/>
        <v>1400000</v>
      </c>
    </row>
    <row r="58" spans="1:21" x14ac:dyDescent="0.25">
      <c r="A58" s="28">
        <v>47</v>
      </c>
      <c r="B58" s="26"/>
      <c r="C58" s="49" t="s">
        <v>147</v>
      </c>
      <c r="D58" s="44"/>
      <c r="E58" s="93">
        <v>10</v>
      </c>
      <c r="F58" s="44" t="s">
        <v>82</v>
      </c>
      <c r="G58" s="50">
        <v>3500</v>
      </c>
      <c r="H58" s="195">
        <f t="shared" si="4"/>
        <v>35000</v>
      </c>
      <c r="I58" s="44"/>
      <c r="J58" s="212">
        <f>H58</f>
        <v>35000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12">
        <f t="shared" si="3"/>
        <v>35000</v>
      </c>
    </row>
    <row r="59" spans="1:21" x14ac:dyDescent="0.25">
      <c r="A59" s="28">
        <v>48</v>
      </c>
      <c r="B59" s="26"/>
      <c r="C59" s="49" t="s">
        <v>148</v>
      </c>
      <c r="D59" s="44"/>
      <c r="E59" s="93">
        <v>100</v>
      </c>
      <c r="F59" s="44" t="s">
        <v>82</v>
      </c>
      <c r="G59" s="50">
        <v>3500</v>
      </c>
      <c r="H59" s="195">
        <f t="shared" si="4"/>
        <v>350000</v>
      </c>
      <c r="I59" s="44"/>
      <c r="J59" s="212">
        <f>H59</f>
        <v>350000</v>
      </c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12">
        <f t="shared" si="3"/>
        <v>350000</v>
      </c>
    </row>
    <row r="60" spans="1:21" x14ac:dyDescent="0.25">
      <c r="A60" s="28">
        <v>49</v>
      </c>
      <c r="B60" s="26"/>
      <c r="C60" s="49" t="s">
        <v>149</v>
      </c>
      <c r="D60" s="44"/>
      <c r="E60" s="93">
        <v>440</v>
      </c>
      <c r="F60" s="44" t="s">
        <v>138</v>
      </c>
      <c r="G60" s="50">
        <v>400</v>
      </c>
      <c r="H60" s="195">
        <f t="shared" si="4"/>
        <v>176000</v>
      </c>
      <c r="I60" s="44"/>
      <c r="J60" s="212">
        <f>H60</f>
        <v>176000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12">
        <f t="shared" si="3"/>
        <v>176000</v>
      </c>
    </row>
    <row r="61" spans="1:21" x14ac:dyDescent="0.25">
      <c r="A61" s="28">
        <v>50</v>
      </c>
      <c r="B61" s="26"/>
      <c r="C61" s="49" t="s">
        <v>150</v>
      </c>
      <c r="D61" s="44"/>
      <c r="E61" s="93">
        <v>440</v>
      </c>
      <c r="F61" s="44" t="s">
        <v>138</v>
      </c>
      <c r="G61" s="50">
        <v>200</v>
      </c>
      <c r="H61" s="195">
        <f t="shared" si="4"/>
        <v>88000</v>
      </c>
      <c r="I61" s="44"/>
      <c r="J61" s="212">
        <f>H61</f>
        <v>88000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12">
        <f t="shared" si="3"/>
        <v>88000</v>
      </c>
    </row>
    <row r="62" spans="1:21" x14ac:dyDescent="0.25">
      <c r="A62" s="28">
        <v>51</v>
      </c>
      <c r="B62" s="26"/>
      <c r="C62" s="49" t="s">
        <v>151</v>
      </c>
      <c r="D62" s="44"/>
      <c r="E62" s="93"/>
      <c r="F62" s="44"/>
      <c r="G62" s="50"/>
      <c r="H62" s="50">
        <f t="shared" si="4"/>
        <v>0</v>
      </c>
      <c r="I62" s="44"/>
      <c r="J62" s="44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12">
        <f t="shared" si="3"/>
        <v>0</v>
      </c>
    </row>
    <row r="63" spans="1:21" x14ac:dyDescent="0.25">
      <c r="A63" s="28">
        <v>52</v>
      </c>
      <c r="B63" s="26"/>
      <c r="C63" s="49" t="s">
        <v>203</v>
      </c>
      <c r="D63" s="44"/>
      <c r="E63" s="93">
        <v>150</v>
      </c>
      <c r="F63" s="44" t="s">
        <v>82</v>
      </c>
      <c r="G63" s="50">
        <v>9500</v>
      </c>
      <c r="H63" s="50">
        <f t="shared" si="4"/>
        <v>1425000</v>
      </c>
      <c r="I63" s="44"/>
      <c r="J63" s="44"/>
      <c r="K63" s="203">
        <f>H63/2</f>
        <v>712500</v>
      </c>
      <c r="L63" s="203"/>
      <c r="M63" s="203"/>
      <c r="N63" s="203"/>
      <c r="O63" s="203">
        <f>K63</f>
        <v>712500</v>
      </c>
      <c r="P63" s="203"/>
      <c r="Q63" s="203"/>
      <c r="R63" s="203"/>
      <c r="S63" s="203"/>
      <c r="T63" s="203"/>
      <c r="U63" s="212">
        <f t="shared" si="3"/>
        <v>1425000</v>
      </c>
    </row>
    <row r="64" spans="1:21" x14ac:dyDescent="0.25">
      <c r="A64" s="28">
        <v>53</v>
      </c>
      <c r="B64" s="26"/>
      <c r="C64" s="49" t="s">
        <v>204</v>
      </c>
      <c r="D64" s="44"/>
      <c r="E64" s="93">
        <v>50</v>
      </c>
      <c r="F64" s="44" t="s">
        <v>82</v>
      </c>
      <c r="G64" s="50">
        <v>9500</v>
      </c>
      <c r="H64" s="50">
        <f t="shared" si="4"/>
        <v>475000</v>
      </c>
      <c r="I64" s="44"/>
      <c r="J64" s="44"/>
      <c r="K64" s="203"/>
      <c r="L64" s="203"/>
      <c r="M64" s="203"/>
      <c r="N64" s="203"/>
      <c r="O64" s="203"/>
      <c r="P64" s="203">
        <f>H64</f>
        <v>475000</v>
      </c>
      <c r="Q64" s="203"/>
      <c r="R64" s="203"/>
      <c r="S64" s="203"/>
      <c r="T64" s="203"/>
      <c r="U64" s="212">
        <f t="shared" si="3"/>
        <v>475000</v>
      </c>
    </row>
    <row r="65" spans="1:21" x14ac:dyDescent="0.25">
      <c r="A65" s="28">
        <v>54</v>
      </c>
      <c r="B65" s="26"/>
      <c r="C65" s="49" t="s">
        <v>140</v>
      </c>
      <c r="D65" s="44"/>
      <c r="E65" s="93">
        <v>150</v>
      </c>
      <c r="F65" s="44" t="s">
        <v>82</v>
      </c>
      <c r="G65" s="50">
        <v>9500</v>
      </c>
      <c r="H65" s="50">
        <f t="shared" si="4"/>
        <v>1425000</v>
      </c>
      <c r="I65" s="44"/>
      <c r="J65" s="198">
        <f>H65/2</f>
        <v>712500</v>
      </c>
      <c r="K65" s="203"/>
      <c r="L65" s="203"/>
      <c r="M65" s="203"/>
      <c r="N65" s="203"/>
      <c r="O65" s="203"/>
      <c r="P65" s="203">
        <f>J65</f>
        <v>712500</v>
      </c>
      <c r="Q65" s="203"/>
      <c r="R65" s="203"/>
      <c r="S65" s="203"/>
      <c r="T65" s="203"/>
      <c r="U65" s="212">
        <f t="shared" si="3"/>
        <v>1425000</v>
      </c>
    </row>
    <row r="66" spans="1:21" x14ac:dyDescent="0.25">
      <c r="A66" s="28">
        <v>55</v>
      </c>
      <c r="B66" s="26"/>
      <c r="C66" s="49" t="s">
        <v>145</v>
      </c>
      <c r="D66" s="44"/>
      <c r="E66" s="93">
        <v>100</v>
      </c>
      <c r="F66" s="44" t="s">
        <v>82</v>
      </c>
      <c r="G66" s="50">
        <v>9500</v>
      </c>
      <c r="H66" s="50">
        <f t="shared" si="4"/>
        <v>950000</v>
      </c>
      <c r="I66" s="44"/>
      <c r="J66" s="212">
        <f>H66</f>
        <v>950000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12">
        <f t="shared" si="3"/>
        <v>950000</v>
      </c>
    </row>
    <row r="67" spans="1:21" x14ac:dyDescent="0.25">
      <c r="A67" s="28">
        <v>56</v>
      </c>
      <c r="B67" s="26"/>
      <c r="C67" s="49" t="s">
        <v>152</v>
      </c>
      <c r="D67" s="44"/>
      <c r="E67" s="93">
        <f>440+165</f>
        <v>605</v>
      </c>
      <c r="F67" s="44" t="s">
        <v>138</v>
      </c>
      <c r="G67" s="50">
        <v>645</v>
      </c>
      <c r="H67" s="50">
        <f t="shared" si="4"/>
        <v>390225</v>
      </c>
      <c r="I67" s="44"/>
      <c r="J67" s="44"/>
      <c r="K67" s="203">
        <f>H67/2</f>
        <v>195112.5</v>
      </c>
      <c r="L67" s="203"/>
      <c r="M67" s="203"/>
      <c r="N67" s="203"/>
      <c r="O67" s="203">
        <f>K67</f>
        <v>195112.5</v>
      </c>
      <c r="P67" s="203"/>
      <c r="Q67" s="203"/>
      <c r="R67" s="203"/>
      <c r="S67" s="203"/>
      <c r="T67" s="203"/>
      <c r="U67" s="212">
        <f t="shared" si="3"/>
        <v>390225</v>
      </c>
    </row>
    <row r="68" spans="1:21" x14ac:dyDescent="0.25">
      <c r="A68" s="28">
        <v>58</v>
      </c>
      <c r="B68" s="26"/>
      <c r="C68" s="147" t="s">
        <v>153</v>
      </c>
      <c r="D68" s="44"/>
      <c r="E68" s="93">
        <f>3960+440</f>
        <v>4400</v>
      </c>
      <c r="F68" s="44" t="s">
        <v>138</v>
      </c>
      <c r="G68" s="50">
        <v>100</v>
      </c>
      <c r="H68" s="50">
        <f t="shared" si="4"/>
        <v>440000</v>
      </c>
      <c r="I68" s="44"/>
      <c r="J68" s="44"/>
      <c r="K68" s="203">
        <f>H68/2</f>
        <v>220000</v>
      </c>
      <c r="L68" s="203"/>
      <c r="M68" s="203"/>
      <c r="N68" s="203"/>
      <c r="O68" s="203"/>
      <c r="P68" s="203"/>
      <c r="Q68" s="203">
        <f>K68</f>
        <v>220000</v>
      </c>
      <c r="R68" s="203"/>
      <c r="S68" s="203"/>
      <c r="T68" s="203"/>
      <c r="U68" s="212">
        <f t="shared" si="3"/>
        <v>440000</v>
      </c>
    </row>
    <row r="69" spans="1:21" x14ac:dyDescent="0.25">
      <c r="A69" s="28">
        <v>59</v>
      </c>
      <c r="B69" s="26"/>
      <c r="C69" s="147" t="s">
        <v>154</v>
      </c>
      <c r="D69" s="44"/>
      <c r="E69" s="93">
        <v>440</v>
      </c>
      <c r="F69" s="44" t="s">
        <v>138</v>
      </c>
      <c r="G69" s="50">
        <v>450</v>
      </c>
      <c r="H69" s="50">
        <f t="shared" si="4"/>
        <v>198000</v>
      </c>
      <c r="I69" s="44"/>
      <c r="J69" s="44"/>
      <c r="K69" s="203">
        <f>H69</f>
        <v>198000</v>
      </c>
      <c r="L69" s="203"/>
      <c r="M69" s="203"/>
      <c r="N69" s="203"/>
      <c r="O69" s="203"/>
      <c r="P69" s="203"/>
      <c r="Q69" s="203"/>
      <c r="R69" s="203"/>
      <c r="S69" s="203"/>
      <c r="T69" s="203"/>
      <c r="U69" s="212">
        <f t="shared" si="3"/>
        <v>198000</v>
      </c>
    </row>
    <row r="70" spans="1:21" x14ac:dyDescent="0.25">
      <c r="A70" s="28">
        <v>60</v>
      </c>
      <c r="B70" s="26"/>
      <c r="C70" s="147" t="s">
        <v>155</v>
      </c>
      <c r="D70" s="44"/>
      <c r="E70" s="93">
        <v>440</v>
      </c>
      <c r="F70" s="44" t="s">
        <v>138</v>
      </c>
      <c r="G70" s="50">
        <v>200</v>
      </c>
      <c r="H70" s="50">
        <f t="shared" si="4"/>
        <v>88000</v>
      </c>
      <c r="I70" s="44"/>
      <c r="J70" s="44"/>
      <c r="K70" s="203">
        <f>H70</f>
        <v>88000</v>
      </c>
      <c r="L70" s="203"/>
      <c r="M70" s="203"/>
      <c r="N70" s="203"/>
      <c r="O70" s="203"/>
      <c r="P70" s="203"/>
      <c r="Q70" s="203"/>
      <c r="R70" s="203"/>
      <c r="S70" s="203"/>
      <c r="T70" s="203"/>
      <c r="U70" s="212">
        <f t="shared" si="3"/>
        <v>88000</v>
      </c>
    </row>
    <row r="71" spans="1:21" x14ac:dyDescent="0.25">
      <c r="A71" s="28">
        <v>61</v>
      </c>
      <c r="B71" s="26"/>
      <c r="C71" s="147" t="s">
        <v>156</v>
      </c>
      <c r="D71" s="44"/>
      <c r="E71" s="93">
        <v>440</v>
      </c>
      <c r="F71" s="44" t="s">
        <v>138</v>
      </c>
      <c r="G71" s="50">
        <v>5500</v>
      </c>
      <c r="H71" s="50">
        <f t="shared" si="4"/>
        <v>2420000</v>
      </c>
      <c r="I71" s="44"/>
      <c r="J71" s="44"/>
      <c r="K71" s="203">
        <f>H71/3</f>
        <v>806666.66666666663</v>
      </c>
      <c r="L71" s="203"/>
      <c r="M71" s="203"/>
      <c r="N71" s="203"/>
      <c r="O71" s="203">
        <f>K71</f>
        <v>806666.66666666663</v>
      </c>
      <c r="P71" s="203"/>
      <c r="Q71" s="203"/>
      <c r="R71" s="203">
        <f>K71</f>
        <v>806666.66666666663</v>
      </c>
      <c r="S71" s="203"/>
      <c r="T71" s="203"/>
      <c r="U71" s="212">
        <f t="shared" si="3"/>
        <v>2420000</v>
      </c>
    </row>
    <row r="72" spans="1:21" x14ac:dyDescent="0.25">
      <c r="A72" s="28">
        <v>62</v>
      </c>
      <c r="B72" s="26"/>
      <c r="C72" s="147" t="s">
        <v>157</v>
      </c>
      <c r="D72" s="44"/>
      <c r="E72" s="93">
        <v>100</v>
      </c>
      <c r="F72" s="44" t="s">
        <v>138</v>
      </c>
      <c r="G72" s="50">
        <v>3500</v>
      </c>
      <c r="H72" s="50">
        <f t="shared" si="4"/>
        <v>350000</v>
      </c>
      <c r="I72" s="44"/>
      <c r="J72" s="44"/>
      <c r="K72" s="203">
        <f>H72</f>
        <v>350000</v>
      </c>
      <c r="L72" s="203"/>
      <c r="M72" s="203"/>
      <c r="N72" s="203"/>
      <c r="O72" s="203"/>
      <c r="P72" s="203"/>
      <c r="Q72" s="203"/>
      <c r="R72" s="203"/>
      <c r="S72" s="203"/>
      <c r="T72" s="203"/>
      <c r="U72" s="212">
        <f t="shared" si="3"/>
        <v>350000</v>
      </c>
    </row>
    <row r="73" spans="1:21" x14ac:dyDescent="0.25">
      <c r="A73" s="28">
        <v>63</v>
      </c>
      <c r="B73" s="26"/>
      <c r="C73" s="147" t="s">
        <v>158</v>
      </c>
      <c r="D73" s="44"/>
      <c r="E73" s="93">
        <v>440</v>
      </c>
      <c r="F73" s="44" t="s">
        <v>138</v>
      </c>
      <c r="G73" s="50">
        <v>200</v>
      </c>
      <c r="H73" s="50">
        <f t="shared" si="4"/>
        <v>88000</v>
      </c>
      <c r="I73" s="44"/>
      <c r="J73" s="44"/>
      <c r="K73" s="203">
        <f>H73</f>
        <v>88000</v>
      </c>
      <c r="L73" s="203"/>
      <c r="M73" s="203"/>
      <c r="N73" s="203"/>
      <c r="O73" s="203"/>
      <c r="P73" s="203"/>
      <c r="Q73" s="203"/>
      <c r="R73" s="203"/>
      <c r="S73" s="203"/>
      <c r="T73" s="203"/>
      <c r="U73" s="212">
        <f t="shared" si="3"/>
        <v>88000</v>
      </c>
    </row>
    <row r="74" spans="1:21" x14ac:dyDescent="0.25">
      <c r="A74" s="28">
        <v>64</v>
      </c>
      <c r="B74" s="26"/>
      <c r="C74" s="49" t="s">
        <v>159</v>
      </c>
      <c r="D74" s="44"/>
      <c r="E74" s="93"/>
      <c r="F74" s="44"/>
      <c r="G74" s="50"/>
      <c r="H74" s="50">
        <f t="shared" si="4"/>
        <v>0</v>
      </c>
      <c r="I74" s="44"/>
      <c r="J74" s="44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12">
        <f t="shared" ref="U74:U105" si="6">SUM(I74:T74)</f>
        <v>0</v>
      </c>
    </row>
    <row r="75" spans="1:21" x14ac:dyDescent="0.25">
      <c r="A75" s="28">
        <v>65</v>
      </c>
      <c r="B75" s="26"/>
      <c r="C75" s="49" t="s">
        <v>160</v>
      </c>
      <c r="D75" s="44"/>
      <c r="E75" s="93">
        <v>440</v>
      </c>
      <c r="F75" s="44" t="s">
        <v>82</v>
      </c>
      <c r="G75" s="50">
        <v>1900</v>
      </c>
      <c r="H75" s="50">
        <f t="shared" si="4"/>
        <v>836000</v>
      </c>
      <c r="I75" s="44"/>
      <c r="J75" s="212">
        <f>H75/2</f>
        <v>418000</v>
      </c>
      <c r="K75" s="203"/>
      <c r="L75" s="203"/>
      <c r="M75" s="203"/>
      <c r="N75" s="203"/>
      <c r="O75" s="203"/>
      <c r="P75" s="203">
        <f>J75</f>
        <v>418000</v>
      </c>
      <c r="Q75" s="203"/>
      <c r="R75" s="203"/>
      <c r="S75" s="203"/>
      <c r="T75" s="203"/>
      <c r="U75" s="212">
        <f t="shared" si="6"/>
        <v>836000</v>
      </c>
    </row>
    <row r="76" spans="1:21" x14ac:dyDescent="0.25">
      <c r="A76" s="28">
        <v>66</v>
      </c>
      <c r="B76" s="26"/>
      <c r="C76" s="49" t="s">
        <v>161</v>
      </c>
      <c r="D76" s="44"/>
      <c r="E76" s="93">
        <f>440+165</f>
        <v>605</v>
      </c>
      <c r="F76" s="44" t="s">
        <v>82</v>
      </c>
      <c r="G76" s="50">
        <v>1900</v>
      </c>
      <c r="H76" s="50">
        <f t="shared" si="4"/>
        <v>1149500</v>
      </c>
      <c r="I76" s="44"/>
      <c r="J76" s="44"/>
      <c r="K76" s="203"/>
      <c r="L76" s="203">
        <f>H76/2</f>
        <v>574750</v>
      </c>
      <c r="M76" s="203"/>
      <c r="N76" s="203"/>
      <c r="O76" s="203"/>
      <c r="P76" s="203"/>
      <c r="Q76" s="203">
        <f>L76</f>
        <v>574750</v>
      </c>
      <c r="R76" s="203"/>
      <c r="S76" s="203"/>
      <c r="T76" s="203"/>
      <c r="U76" s="212">
        <f t="shared" si="6"/>
        <v>1149500</v>
      </c>
    </row>
    <row r="77" spans="1:21" x14ac:dyDescent="0.25">
      <c r="A77" s="28">
        <v>67</v>
      </c>
      <c r="B77" s="26"/>
      <c r="C77" s="49" t="s">
        <v>203</v>
      </c>
      <c r="D77" s="44"/>
      <c r="E77" s="93">
        <v>150</v>
      </c>
      <c r="F77" s="44" t="s">
        <v>82</v>
      </c>
      <c r="G77" s="50">
        <v>1900</v>
      </c>
      <c r="H77" s="50">
        <f t="shared" si="4"/>
        <v>285000</v>
      </c>
      <c r="I77" s="44"/>
      <c r="J77" s="44"/>
      <c r="K77" s="203">
        <f>H77/2</f>
        <v>142500</v>
      </c>
      <c r="L77" s="203"/>
      <c r="M77" s="203"/>
      <c r="N77" s="203"/>
      <c r="O77" s="203">
        <f>K77</f>
        <v>142500</v>
      </c>
      <c r="P77" s="203"/>
      <c r="Q77" s="203"/>
      <c r="R77" s="203"/>
      <c r="S77" s="203"/>
      <c r="T77" s="203"/>
      <c r="U77" s="212">
        <f t="shared" si="6"/>
        <v>285000</v>
      </c>
    </row>
    <row r="78" spans="1:21" x14ac:dyDescent="0.25">
      <c r="A78" s="28">
        <v>68</v>
      </c>
      <c r="B78" s="26"/>
      <c r="C78" s="49" t="s">
        <v>204</v>
      </c>
      <c r="D78" s="44"/>
      <c r="E78" s="93">
        <v>50</v>
      </c>
      <c r="F78" s="44" t="s">
        <v>82</v>
      </c>
      <c r="G78" s="50">
        <v>1900</v>
      </c>
      <c r="H78" s="50">
        <f t="shared" si="4"/>
        <v>95000</v>
      </c>
      <c r="I78" s="44"/>
      <c r="J78" s="44"/>
      <c r="K78" s="203"/>
      <c r="L78" s="203"/>
      <c r="M78" s="203"/>
      <c r="N78" s="203"/>
      <c r="O78" s="203"/>
      <c r="P78" s="203">
        <f>H78</f>
        <v>95000</v>
      </c>
      <c r="Q78" s="203"/>
      <c r="R78" s="203"/>
      <c r="S78" s="203"/>
      <c r="T78" s="203"/>
      <c r="U78" s="212">
        <f t="shared" si="6"/>
        <v>95000</v>
      </c>
    </row>
    <row r="79" spans="1:21" x14ac:dyDescent="0.25">
      <c r="A79" s="28">
        <v>69</v>
      </c>
      <c r="B79" s="26"/>
      <c r="C79" s="49" t="s">
        <v>224</v>
      </c>
      <c r="D79" s="44"/>
      <c r="E79" s="93">
        <v>100</v>
      </c>
      <c r="F79" s="44" t="s">
        <v>82</v>
      </c>
      <c r="G79" s="50">
        <v>1900</v>
      </c>
      <c r="H79" s="50">
        <f t="shared" si="4"/>
        <v>190000</v>
      </c>
      <c r="I79" s="44"/>
      <c r="J79" s="44"/>
      <c r="K79" s="203"/>
      <c r="L79" s="203"/>
      <c r="M79" s="203"/>
      <c r="N79" s="203">
        <f>H79/2</f>
        <v>95000</v>
      </c>
      <c r="O79" s="203"/>
      <c r="P79" s="203"/>
      <c r="Q79" s="203"/>
      <c r="R79" s="203"/>
      <c r="S79" s="203"/>
      <c r="T79" s="203">
        <f>N79</f>
        <v>95000</v>
      </c>
      <c r="U79" s="212">
        <f t="shared" si="6"/>
        <v>190000</v>
      </c>
    </row>
    <row r="80" spans="1:21" x14ac:dyDescent="0.25">
      <c r="A80" s="28">
        <v>70</v>
      </c>
      <c r="B80" s="26"/>
      <c r="C80" s="49" t="s">
        <v>140</v>
      </c>
      <c r="D80" s="44"/>
      <c r="E80" s="93">
        <v>150</v>
      </c>
      <c r="F80" s="44" t="s">
        <v>82</v>
      </c>
      <c r="G80" s="50">
        <v>1900</v>
      </c>
      <c r="H80" s="50">
        <f t="shared" si="4"/>
        <v>285000</v>
      </c>
      <c r="I80" s="44"/>
      <c r="J80" s="212">
        <f>H80</f>
        <v>285000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12">
        <f t="shared" si="6"/>
        <v>285000</v>
      </c>
    </row>
    <row r="81" spans="1:21" x14ac:dyDescent="0.25">
      <c r="A81" s="28">
        <v>71</v>
      </c>
      <c r="B81" s="26"/>
      <c r="C81" s="94" t="s">
        <v>146</v>
      </c>
      <c r="D81" s="44"/>
      <c r="E81" s="93">
        <v>400</v>
      </c>
      <c r="F81" s="44" t="s">
        <v>82</v>
      </c>
      <c r="G81" s="50">
        <v>1900</v>
      </c>
      <c r="H81" s="50">
        <f t="shared" si="4"/>
        <v>760000</v>
      </c>
      <c r="I81" s="44"/>
      <c r="J81" s="198">
        <f>H81/2</f>
        <v>380000</v>
      </c>
      <c r="K81" s="203"/>
      <c r="L81" s="203"/>
      <c r="M81" s="203">
        <f>J81</f>
        <v>380000</v>
      </c>
      <c r="N81" s="203"/>
      <c r="O81" s="203"/>
      <c r="P81" s="203"/>
      <c r="Q81" s="203"/>
      <c r="R81" s="203"/>
      <c r="S81" s="203"/>
      <c r="T81" s="203"/>
      <c r="U81" s="212">
        <f t="shared" si="6"/>
        <v>760000</v>
      </c>
    </row>
    <row r="82" spans="1:21" x14ac:dyDescent="0.25">
      <c r="A82" s="28">
        <v>72</v>
      </c>
      <c r="B82" s="26"/>
      <c r="C82" s="49" t="s">
        <v>147</v>
      </c>
      <c r="D82" s="44"/>
      <c r="E82" s="93">
        <v>15</v>
      </c>
      <c r="F82" s="44" t="s">
        <v>82</v>
      </c>
      <c r="G82" s="50">
        <v>1900</v>
      </c>
      <c r="H82" s="50">
        <f t="shared" si="4"/>
        <v>28500</v>
      </c>
      <c r="I82" s="44"/>
      <c r="J82" s="212">
        <f>H82</f>
        <v>28500</v>
      </c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12">
        <f t="shared" si="6"/>
        <v>28500</v>
      </c>
    </row>
    <row r="83" spans="1:21" x14ac:dyDescent="0.25">
      <c r="A83" s="28">
        <v>73</v>
      </c>
      <c r="B83" s="26"/>
      <c r="C83" s="49" t="s">
        <v>148</v>
      </c>
      <c r="D83" s="44"/>
      <c r="E83" s="93">
        <v>100</v>
      </c>
      <c r="F83" s="44" t="s">
        <v>82</v>
      </c>
      <c r="G83" s="50">
        <v>1900</v>
      </c>
      <c r="H83" s="50">
        <f t="shared" si="4"/>
        <v>190000</v>
      </c>
      <c r="I83" s="44"/>
      <c r="J83" s="212">
        <f>H83</f>
        <v>190000</v>
      </c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12">
        <f t="shared" si="6"/>
        <v>190000</v>
      </c>
    </row>
    <row r="84" spans="1:21" x14ac:dyDescent="0.25">
      <c r="A84" s="28">
        <v>74</v>
      </c>
      <c r="B84" s="26"/>
      <c r="C84" s="49" t="s">
        <v>162</v>
      </c>
      <c r="D84" s="44"/>
      <c r="E84" s="93"/>
      <c r="F84" s="44" t="s">
        <v>138</v>
      </c>
      <c r="G84" s="50"/>
      <c r="H84" s="50">
        <f t="shared" si="4"/>
        <v>0</v>
      </c>
      <c r="I84" s="44"/>
      <c r="J84" s="44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12">
        <f t="shared" si="6"/>
        <v>0</v>
      </c>
    </row>
    <row r="85" spans="1:21" x14ac:dyDescent="0.25">
      <c r="A85" s="28">
        <v>52</v>
      </c>
      <c r="B85" s="26"/>
      <c r="C85" s="49" t="s">
        <v>203</v>
      </c>
      <c r="D85" s="44"/>
      <c r="E85" s="93">
        <v>150</v>
      </c>
      <c r="F85" s="44" t="s">
        <v>82</v>
      </c>
      <c r="G85" s="50">
        <v>2500</v>
      </c>
      <c r="H85" s="50">
        <f t="shared" si="4"/>
        <v>375000</v>
      </c>
      <c r="I85" s="44"/>
      <c r="J85" s="44"/>
      <c r="K85" s="203">
        <f>H85/2</f>
        <v>187500</v>
      </c>
      <c r="L85" s="203"/>
      <c r="M85" s="203"/>
      <c r="N85" s="203"/>
      <c r="O85" s="203">
        <f>K85</f>
        <v>187500</v>
      </c>
      <c r="P85" s="203"/>
      <c r="Q85" s="203"/>
      <c r="R85" s="203"/>
      <c r="S85" s="203"/>
      <c r="T85" s="203"/>
      <c r="U85" s="212">
        <f t="shared" si="6"/>
        <v>375000</v>
      </c>
    </row>
    <row r="86" spans="1:21" x14ac:dyDescent="0.25">
      <c r="A86" s="28">
        <v>53</v>
      </c>
      <c r="B86" s="26"/>
      <c r="C86" s="49" t="s">
        <v>204</v>
      </c>
      <c r="D86" s="44"/>
      <c r="E86" s="93">
        <v>50</v>
      </c>
      <c r="F86" s="44" t="s">
        <v>82</v>
      </c>
      <c r="G86" s="50">
        <v>2500</v>
      </c>
      <c r="H86" s="50">
        <f t="shared" si="4"/>
        <v>125000</v>
      </c>
      <c r="I86" s="44"/>
      <c r="J86" s="44"/>
      <c r="K86" s="203"/>
      <c r="L86" s="203"/>
      <c r="M86" s="203"/>
      <c r="N86" s="203"/>
      <c r="O86" s="203"/>
      <c r="P86" s="203">
        <f>H86</f>
        <v>125000</v>
      </c>
      <c r="Q86" s="203"/>
      <c r="R86" s="203"/>
      <c r="S86" s="203"/>
      <c r="T86" s="203"/>
      <c r="U86" s="212">
        <f t="shared" si="6"/>
        <v>125000</v>
      </c>
    </row>
    <row r="87" spans="1:21" x14ac:dyDescent="0.25">
      <c r="A87" s="28">
        <v>54</v>
      </c>
      <c r="B87" s="26"/>
      <c r="C87" s="49" t="s">
        <v>140</v>
      </c>
      <c r="D87" s="44"/>
      <c r="E87" s="93">
        <v>150</v>
      </c>
      <c r="F87" s="44" t="s">
        <v>82</v>
      </c>
      <c r="G87" s="50">
        <v>2500</v>
      </c>
      <c r="H87" s="50">
        <f>E87*G87</f>
        <v>375000</v>
      </c>
      <c r="I87" s="44"/>
      <c r="J87" s="212">
        <f>H87</f>
        <v>375000</v>
      </c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12">
        <f t="shared" si="6"/>
        <v>375000</v>
      </c>
    </row>
    <row r="88" spans="1:21" x14ac:dyDescent="0.25">
      <c r="A88" s="28">
        <v>75</v>
      </c>
      <c r="B88" s="26"/>
      <c r="C88" s="49" t="s">
        <v>163</v>
      </c>
      <c r="D88" s="44"/>
      <c r="E88" s="93">
        <v>2205</v>
      </c>
      <c r="F88" s="44" t="s">
        <v>138</v>
      </c>
      <c r="G88" s="50">
        <v>35</v>
      </c>
      <c r="H88" s="50">
        <f t="shared" si="4"/>
        <v>77175</v>
      </c>
      <c r="I88" s="44"/>
      <c r="J88" s="212">
        <f>H88</f>
        <v>77175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12">
        <f t="shared" si="6"/>
        <v>77175</v>
      </c>
    </row>
    <row r="89" spans="1:21" x14ac:dyDescent="0.25">
      <c r="A89" s="28">
        <v>76</v>
      </c>
      <c r="B89" s="26"/>
      <c r="C89" s="49" t="s">
        <v>164</v>
      </c>
      <c r="D89" s="44"/>
      <c r="E89" s="93"/>
      <c r="F89" s="44"/>
      <c r="G89" s="50"/>
      <c r="H89" s="50">
        <f t="shared" si="4"/>
        <v>0</v>
      </c>
      <c r="I89" s="44"/>
      <c r="J89" s="44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12">
        <f t="shared" si="6"/>
        <v>0</v>
      </c>
    </row>
    <row r="90" spans="1:21" x14ac:dyDescent="0.25">
      <c r="A90" s="28">
        <v>52</v>
      </c>
      <c r="B90" s="26"/>
      <c r="C90" s="49" t="s">
        <v>203</v>
      </c>
      <c r="D90" s="44"/>
      <c r="E90" s="93">
        <v>150</v>
      </c>
      <c r="F90" s="44" t="s">
        <v>82</v>
      </c>
      <c r="G90" s="50">
        <v>3000</v>
      </c>
      <c r="H90" s="213">
        <f t="shared" si="4"/>
        <v>450000</v>
      </c>
      <c r="I90" s="216"/>
      <c r="J90" s="216"/>
      <c r="K90" s="217">
        <f>H90/2</f>
        <v>225000</v>
      </c>
      <c r="L90" s="217"/>
      <c r="M90" s="217"/>
      <c r="N90" s="217"/>
      <c r="O90" s="217">
        <f>K90</f>
        <v>225000</v>
      </c>
      <c r="P90" s="217"/>
      <c r="Q90" s="217"/>
      <c r="R90" s="217"/>
      <c r="S90" s="217"/>
      <c r="T90" s="217"/>
      <c r="U90" s="218">
        <f t="shared" si="6"/>
        <v>450000</v>
      </c>
    </row>
    <row r="91" spans="1:21" x14ac:dyDescent="0.25">
      <c r="A91" s="28">
        <v>53</v>
      </c>
      <c r="B91" s="26"/>
      <c r="C91" s="49" t="s">
        <v>204</v>
      </c>
      <c r="D91" s="44"/>
      <c r="E91" s="93">
        <v>50</v>
      </c>
      <c r="F91" s="44" t="s">
        <v>82</v>
      </c>
      <c r="G91" s="50">
        <v>3000</v>
      </c>
      <c r="H91" s="50">
        <f t="shared" si="4"/>
        <v>150000</v>
      </c>
      <c r="I91" s="44"/>
      <c r="J91" s="44"/>
      <c r="K91" s="203"/>
      <c r="L91" s="203"/>
      <c r="M91" s="203"/>
      <c r="N91" s="203"/>
      <c r="O91" s="203"/>
      <c r="P91" s="203">
        <f>H91</f>
        <v>150000</v>
      </c>
      <c r="Q91" s="203"/>
      <c r="R91" s="203"/>
      <c r="S91" s="203"/>
      <c r="T91" s="203"/>
      <c r="U91" s="212">
        <f t="shared" si="6"/>
        <v>150000</v>
      </c>
    </row>
    <row r="92" spans="1:21" x14ac:dyDescent="0.25">
      <c r="A92" s="28">
        <v>54</v>
      </c>
      <c r="B92" s="26"/>
      <c r="C92" s="49" t="s">
        <v>140</v>
      </c>
      <c r="D92" s="44"/>
      <c r="E92" s="93">
        <v>150</v>
      </c>
      <c r="F92" s="44" t="s">
        <v>82</v>
      </c>
      <c r="G92" s="50">
        <v>3000</v>
      </c>
      <c r="H92" s="50">
        <f>E92*G92</f>
        <v>450000</v>
      </c>
      <c r="I92" s="44"/>
      <c r="J92" s="212">
        <f>H92</f>
        <v>450000</v>
      </c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12">
        <f t="shared" si="6"/>
        <v>450000</v>
      </c>
    </row>
    <row r="93" spans="1:21" x14ac:dyDescent="0.25">
      <c r="A93" s="28">
        <v>77</v>
      </c>
      <c r="B93" s="26"/>
      <c r="C93" s="49" t="s">
        <v>165</v>
      </c>
      <c r="D93" s="44"/>
      <c r="E93" s="93">
        <v>50</v>
      </c>
      <c r="F93" s="44" t="s">
        <v>138</v>
      </c>
      <c r="G93" s="50">
        <v>6000</v>
      </c>
      <c r="H93" s="50">
        <f t="shared" si="4"/>
        <v>300000</v>
      </c>
      <c r="I93" s="44"/>
      <c r="J93" s="44"/>
      <c r="K93" s="203">
        <f>H93</f>
        <v>300000</v>
      </c>
      <c r="L93" s="203"/>
      <c r="M93" s="203"/>
      <c r="N93" s="203"/>
      <c r="O93" s="203"/>
      <c r="P93" s="203"/>
      <c r="Q93" s="203"/>
      <c r="R93" s="203"/>
      <c r="S93" s="203"/>
      <c r="T93" s="203"/>
      <c r="U93" s="212">
        <f t="shared" si="6"/>
        <v>300000</v>
      </c>
    </row>
    <row r="94" spans="1:21" x14ac:dyDescent="0.25">
      <c r="A94" s="28">
        <v>78</v>
      </c>
      <c r="B94" s="26"/>
      <c r="C94" s="49" t="s">
        <v>166</v>
      </c>
      <c r="D94" s="44"/>
      <c r="E94" s="93"/>
      <c r="F94" s="44"/>
      <c r="G94" s="50"/>
      <c r="H94" s="50">
        <f>E94*G94</f>
        <v>0</v>
      </c>
      <c r="I94" s="44"/>
      <c r="J94" s="44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12">
        <f t="shared" si="6"/>
        <v>0</v>
      </c>
    </row>
    <row r="95" spans="1:21" x14ac:dyDescent="0.25">
      <c r="A95" s="28">
        <v>52</v>
      </c>
      <c r="B95" s="26"/>
      <c r="C95" s="49" t="s">
        <v>203</v>
      </c>
      <c r="D95" s="44"/>
      <c r="E95" s="93">
        <v>150</v>
      </c>
      <c r="F95" s="44" t="s">
        <v>82</v>
      </c>
      <c r="G95" s="50">
        <v>10000</v>
      </c>
      <c r="H95" s="50">
        <f t="shared" ref="H95:H98" si="7">E95*G95</f>
        <v>1500000</v>
      </c>
      <c r="I95" s="44"/>
      <c r="J95" s="44"/>
      <c r="K95" s="203">
        <f>H95/2</f>
        <v>750000</v>
      </c>
      <c r="L95" s="203"/>
      <c r="M95" s="203"/>
      <c r="N95" s="203"/>
      <c r="O95" s="203">
        <f>K95</f>
        <v>750000</v>
      </c>
      <c r="P95" s="203"/>
      <c r="Q95" s="203"/>
      <c r="R95" s="203"/>
      <c r="S95" s="203"/>
      <c r="T95" s="203"/>
      <c r="U95" s="212">
        <f t="shared" si="6"/>
        <v>1500000</v>
      </c>
    </row>
    <row r="96" spans="1:21" x14ac:dyDescent="0.25">
      <c r="A96" s="28">
        <v>53</v>
      </c>
      <c r="B96" s="26"/>
      <c r="C96" s="49" t="s">
        <v>204</v>
      </c>
      <c r="D96" s="44"/>
      <c r="E96" s="93">
        <v>50</v>
      </c>
      <c r="F96" s="44" t="s">
        <v>82</v>
      </c>
      <c r="G96" s="50">
        <v>10000</v>
      </c>
      <c r="H96" s="50">
        <f t="shared" si="7"/>
        <v>500000</v>
      </c>
      <c r="I96" s="44"/>
      <c r="J96" s="44"/>
      <c r="K96" s="203"/>
      <c r="L96" s="203"/>
      <c r="M96" s="203"/>
      <c r="N96" s="203"/>
      <c r="O96" s="203"/>
      <c r="P96" s="203">
        <f>H96</f>
        <v>500000</v>
      </c>
      <c r="Q96" s="203"/>
      <c r="R96" s="203"/>
      <c r="S96" s="203"/>
      <c r="T96" s="203"/>
      <c r="U96" s="212">
        <f t="shared" si="6"/>
        <v>500000</v>
      </c>
    </row>
    <row r="97" spans="1:21" x14ac:dyDescent="0.25">
      <c r="A97" s="28">
        <v>54</v>
      </c>
      <c r="B97" s="26"/>
      <c r="C97" s="49" t="s">
        <v>140</v>
      </c>
      <c r="D97" s="44"/>
      <c r="E97" s="93">
        <v>150</v>
      </c>
      <c r="F97" s="44" t="s">
        <v>82</v>
      </c>
      <c r="G97" s="50">
        <v>10000</v>
      </c>
      <c r="H97" s="50">
        <f>E97*G97</f>
        <v>1500000</v>
      </c>
      <c r="I97" s="44"/>
      <c r="J97" s="198">
        <f>H97/2</f>
        <v>750000</v>
      </c>
      <c r="K97" s="203"/>
      <c r="L97" s="203"/>
      <c r="M97" s="203"/>
      <c r="N97" s="203"/>
      <c r="O97" s="203"/>
      <c r="P97" s="203">
        <f>J97</f>
        <v>750000</v>
      </c>
      <c r="Q97" s="203"/>
      <c r="R97" s="203"/>
      <c r="S97" s="203"/>
      <c r="T97" s="203"/>
      <c r="U97" s="212">
        <f t="shared" si="6"/>
        <v>1500000</v>
      </c>
    </row>
    <row r="98" spans="1:21" x14ac:dyDescent="0.25">
      <c r="A98" s="28">
        <v>55</v>
      </c>
      <c r="B98" s="26"/>
      <c r="C98" s="49" t="s">
        <v>145</v>
      </c>
      <c r="D98" s="44"/>
      <c r="E98" s="93">
        <v>100</v>
      </c>
      <c r="F98" s="44" t="s">
        <v>82</v>
      </c>
      <c r="G98" s="50">
        <v>10000</v>
      </c>
      <c r="H98" s="50">
        <f t="shared" si="7"/>
        <v>1000000</v>
      </c>
      <c r="I98" s="44"/>
      <c r="J98" s="198">
        <f>H98/2</f>
        <v>500000</v>
      </c>
      <c r="K98" s="203"/>
      <c r="L98" s="203"/>
      <c r="M98" s="203"/>
      <c r="N98" s="203"/>
      <c r="O98" s="203"/>
      <c r="P98" s="203"/>
      <c r="Q98" s="203">
        <f>J98</f>
        <v>500000</v>
      </c>
      <c r="R98" s="203"/>
      <c r="S98" s="203"/>
      <c r="T98" s="203"/>
      <c r="U98" s="212">
        <f t="shared" si="6"/>
        <v>1000000</v>
      </c>
    </row>
    <row r="99" spans="1:21" x14ac:dyDescent="0.25">
      <c r="A99" s="28">
        <v>80</v>
      </c>
      <c r="B99" s="26"/>
      <c r="C99" s="148" t="s">
        <v>168</v>
      </c>
      <c r="D99" s="131"/>
      <c r="E99" s="149">
        <v>120</v>
      </c>
      <c r="F99" s="44" t="s">
        <v>138</v>
      </c>
      <c r="G99" s="50">
        <v>2500</v>
      </c>
      <c r="H99" s="50">
        <f>E99*G99</f>
        <v>300000</v>
      </c>
      <c r="I99" s="44"/>
      <c r="J99" s="44"/>
      <c r="K99" s="203"/>
      <c r="L99" s="203">
        <f>H99/2</f>
        <v>150000</v>
      </c>
      <c r="M99" s="203"/>
      <c r="N99" s="203"/>
      <c r="O99" s="203"/>
      <c r="P99" s="203"/>
      <c r="Q99" s="203">
        <f>L99</f>
        <v>150000</v>
      </c>
      <c r="R99" s="203"/>
      <c r="S99" s="203"/>
      <c r="T99" s="203"/>
      <c r="U99" s="212">
        <f t="shared" si="6"/>
        <v>300000</v>
      </c>
    </row>
    <row r="100" spans="1:21" x14ac:dyDescent="0.25">
      <c r="A100" s="28">
        <v>81</v>
      </c>
      <c r="B100" s="26"/>
      <c r="C100" s="49" t="s">
        <v>169</v>
      </c>
      <c r="D100" s="44"/>
      <c r="E100" s="93">
        <v>5</v>
      </c>
      <c r="F100" s="44" t="s">
        <v>138</v>
      </c>
      <c r="G100" s="50">
        <v>11000</v>
      </c>
      <c r="H100" s="50">
        <f t="shared" si="4"/>
        <v>55000</v>
      </c>
      <c r="I100" s="44"/>
      <c r="J100" s="44"/>
      <c r="K100" s="203"/>
      <c r="L100" s="203">
        <f>H100</f>
        <v>55000</v>
      </c>
      <c r="M100" s="203"/>
      <c r="N100" s="203"/>
      <c r="O100" s="203"/>
      <c r="P100" s="203"/>
      <c r="Q100" s="203"/>
      <c r="R100" s="203"/>
      <c r="S100" s="203"/>
      <c r="T100" s="203"/>
      <c r="U100" s="212">
        <f t="shared" si="6"/>
        <v>55000</v>
      </c>
    </row>
    <row r="101" spans="1:21" x14ac:dyDescent="0.25">
      <c r="A101" s="28">
        <v>82</v>
      </c>
      <c r="B101" s="26"/>
      <c r="C101" s="49" t="s">
        <v>170</v>
      </c>
      <c r="D101" s="44"/>
      <c r="E101" s="93">
        <v>10</v>
      </c>
      <c r="F101" s="44" t="s">
        <v>138</v>
      </c>
      <c r="G101" s="50">
        <v>10500</v>
      </c>
      <c r="H101" s="50">
        <f t="shared" si="4"/>
        <v>105000</v>
      </c>
      <c r="I101" s="44"/>
      <c r="J101" s="44"/>
      <c r="K101" s="203"/>
      <c r="L101" s="203">
        <f>H101</f>
        <v>105000</v>
      </c>
      <c r="M101" s="203"/>
      <c r="N101" s="203"/>
      <c r="O101" s="203"/>
      <c r="P101" s="203"/>
      <c r="Q101" s="203"/>
      <c r="R101" s="203"/>
      <c r="S101" s="203"/>
      <c r="T101" s="203"/>
      <c r="U101" s="212">
        <f t="shared" si="6"/>
        <v>105000</v>
      </c>
    </row>
    <row r="102" spans="1:21" x14ac:dyDescent="0.25">
      <c r="A102" s="28">
        <v>83</v>
      </c>
      <c r="B102" s="26"/>
      <c r="C102" s="49" t="s">
        <v>171</v>
      </c>
      <c r="D102" s="44"/>
      <c r="E102" s="93">
        <v>30</v>
      </c>
      <c r="F102" s="44" t="s">
        <v>138</v>
      </c>
      <c r="G102" s="50">
        <v>8500</v>
      </c>
      <c r="H102" s="50">
        <f t="shared" si="4"/>
        <v>255000</v>
      </c>
      <c r="I102" s="44"/>
      <c r="J102" s="44"/>
      <c r="K102" s="203"/>
      <c r="L102" s="203">
        <f>H102</f>
        <v>255000</v>
      </c>
      <c r="M102" s="203"/>
      <c r="N102" s="203"/>
      <c r="O102" s="203"/>
      <c r="P102" s="203"/>
      <c r="Q102" s="203"/>
      <c r="R102" s="203"/>
      <c r="S102" s="203"/>
      <c r="T102" s="203"/>
      <c r="U102" s="212">
        <f t="shared" si="6"/>
        <v>255000</v>
      </c>
    </row>
    <row r="103" spans="1:21" x14ac:dyDescent="0.25">
      <c r="A103" s="28">
        <v>79</v>
      </c>
      <c r="B103" s="26"/>
      <c r="C103" s="49" t="s">
        <v>167</v>
      </c>
      <c r="D103" s="44"/>
      <c r="E103" s="93">
        <v>55</v>
      </c>
      <c r="F103" s="44" t="s">
        <v>138</v>
      </c>
      <c r="G103" s="50">
        <v>6500</v>
      </c>
      <c r="H103" s="50">
        <f>E103*G103</f>
        <v>357500</v>
      </c>
      <c r="I103" s="44"/>
      <c r="J103" s="44"/>
      <c r="K103" s="203"/>
      <c r="L103" s="203">
        <f>H103</f>
        <v>357500</v>
      </c>
      <c r="M103" s="203"/>
      <c r="N103" s="203"/>
      <c r="O103" s="203"/>
      <c r="P103" s="203"/>
      <c r="Q103" s="203"/>
      <c r="R103" s="203"/>
      <c r="S103" s="203"/>
      <c r="T103" s="203"/>
      <c r="U103" s="212">
        <f t="shared" si="6"/>
        <v>357500</v>
      </c>
    </row>
    <row r="104" spans="1:21" x14ac:dyDescent="0.25">
      <c r="A104" s="28">
        <v>84</v>
      </c>
      <c r="B104" s="26"/>
      <c r="C104" s="49" t="s">
        <v>172</v>
      </c>
      <c r="D104" s="44"/>
      <c r="E104" s="93">
        <v>440</v>
      </c>
      <c r="F104" s="44" t="s">
        <v>138</v>
      </c>
      <c r="G104" s="50">
        <v>2800</v>
      </c>
      <c r="H104" s="50">
        <f t="shared" si="4"/>
        <v>1232000</v>
      </c>
      <c r="I104" s="44"/>
      <c r="J104" s="198">
        <f>H104/2</f>
        <v>616000</v>
      </c>
      <c r="K104" s="203"/>
      <c r="L104" s="203"/>
      <c r="M104" s="203"/>
      <c r="N104" s="203"/>
      <c r="O104" s="203"/>
      <c r="P104" s="203"/>
      <c r="Q104" s="203">
        <f>J104</f>
        <v>616000</v>
      </c>
      <c r="R104" s="203"/>
      <c r="S104" s="203"/>
      <c r="T104" s="203"/>
      <c r="U104" s="212">
        <f t="shared" si="6"/>
        <v>1232000</v>
      </c>
    </row>
    <row r="105" spans="1:21" x14ac:dyDescent="0.25">
      <c r="A105" s="28">
        <v>85</v>
      </c>
      <c r="B105" s="26"/>
      <c r="C105" s="148" t="s">
        <v>173</v>
      </c>
      <c r="D105" s="28"/>
      <c r="E105" s="149">
        <f>3960+440</f>
        <v>4400</v>
      </c>
      <c r="F105" s="44" t="s">
        <v>138</v>
      </c>
      <c r="G105" s="50">
        <v>400</v>
      </c>
      <c r="H105" s="50">
        <f t="shared" si="4"/>
        <v>1760000</v>
      </c>
      <c r="I105" s="44"/>
      <c r="J105" s="44"/>
      <c r="K105" s="203"/>
      <c r="L105" s="203">
        <f>H105/2</f>
        <v>880000</v>
      </c>
      <c r="M105" s="203"/>
      <c r="N105" s="203"/>
      <c r="O105" s="203"/>
      <c r="P105" s="203">
        <f>L105</f>
        <v>880000</v>
      </c>
      <c r="Q105" s="203"/>
      <c r="R105" s="203"/>
      <c r="S105" s="203"/>
      <c r="T105" s="203"/>
      <c r="U105" s="212">
        <f t="shared" si="6"/>
        <v>1760000</v>
      </c>
    </row>
    <row r="106" spans="1:21" x14ac:dyDescent="0.25">
      <c r="A106" s="28">
        <v>87</v>
      </c>
      <c r="B106" s="26"/>
      <c r="C106" s="49" t="s">
        <v>175</v>
      </c>
      <c r="D106" s="44"/>
      <c r="E106" s="93">
        <v>5</v>
      </c>
      <c r="F106" s="44" t="s">
        <v>138</v>
      </c>
      <c r="G106" s="50">
        <v>900</v>
      </c>
      <c r="H106" s="50">
        <f t="shared" si="4"/>
        <v>4500</v>
      </c>
      <c r="I106" s="44"/>
      <c r="J106" s="44"/>
      <c r="K106" s="203"/>
      <c r="L106" s="203">
        <f>H106</f>
        <v>4500</v>
      </c>
      <c r="M106" s="203"/>
      <c r="N106" s="203"/>
      <c r="O106" s="203"/>
      <c r="P106" s="203"/>
      <c r="Q106" s="203"/>
      <c r="R106" s="203"/>
      <c r="S106" s="203"/>
      <c r="T106" s="203"/>
      <c r="U106" s="212">
        <f t="shared" ref="U106:U133" si="8">SUM(I106:T106)</f>
        <v>4500</v>
      </c>
    </row>
    <row r="107" spans="1:21" x14ac:dyDescent="0.25">
      <c r="A107" s="28">
        <v>88</v>
      </c>
      <c r="B107" s="26"/>
      <c r="C107" s="49" t="s">
        <v>176</v>
      </c>
      <c r="D107" s="44"/>
      <c r="E107" s="93">
        <v>10</v>
      </c>
      <c r="F107" s="44" t="s">
        <v>138</v>
      </c>
      <c r="G107" s="50">
        <v>850</v>
      </c>
      <c r="H107" s="50">
        <f t="shared" si="4"/>
        <v>8500</v>
      </c>
      <c r="I107" s="44"/>
      <c r="J107" s="44"/>
      <c r="K107" s="203"/>
      <c r="L107" s="203">
        <f>H107</f>
        <v>8500</v>
      </c>
      <c r="M107" s="203"/>
      <c r="N107" s="203"/>
      <c r="O107" s="203"/>
      <c r="P107" s="203"/>
      <c r="Q107" s="203"/>
      <c r="R107" s="203"/>
      <c r="S107" s="203"/>
      <c r="T107" s="203"/>
      <c r="U107" s="212">
        <f t="shared" si="8"/>
        <v>8500</v>
      </c>
    </row>
    <row r="108" spans="1:21" x14ac:dyDescent="0.25">
      <c r="A108" s="28">
        <v>89</v>
      </c>
      <c r="B108" s="26"/>
      <c r="C108" s="49" t="s">
        <v>177</v>
      </c>
      <c r="D108" s="44"/>
      <c r="E108" s="93">
        <v>30</v>
      </c>
      <c r="F108" s="44" t="s">
        <v>138</v>
      </c>
      <c r="G108" s="50">
        <v>800</v>
      </c>
      <c r="H108" s="50">
        <f t="shared" si="4"/>
        <v>24000</v>
      </c>
      <c r="I108" s="44"/>
      <c r="J108" s="44"/>
      <c r="K108" s="203"/>
      <c r="L108" s="203">
        <f>H108</f>
        <v>24000</v>
      </c>
      <c r="M108" s="203"/>
      <c r="N108" s="203"/>
      <c r="O108" s="203"/>
      <c r="P108" s="203"/>
      <c r="Q108" s="203"/>
      <c r="R108" s="203"/>
      <c r="S108" s="203"/>
      <c r="T108" s="203"/>
      <c r="U108" s="212">
        <f t="shared" si="8"/>
        <v>24000</v>
      </c>
    </row>
    <row r="109" spans="1:21" x14ac:dyDescent="0.25">
      <c r="A109" s="28">
        <v>86</v>
      </c>
      <c r="B109" s="26"/>
      <c r="C109" s="49" t="s">
        <v>174</v>
      </c>
      <c r="D109" s="44"/>
      <c r="E109" s="93">
        <v>55</v>
      </c>
      <c r="F109" s="44" t="s">
        <v>138</v>
      </c>
      <c r="G109" s="50">
        <v>680</v>
      </c>
      <c r="H109" s="50">
        <f>E109*G109</f>
        <v>37400</v>
      </c>
      <c r="I109" s="44"/>
      <c r="J109" s="44"/>
      <c r="K109" s="203"/>
      <c r="L109" s="203">
        <f>H109</f>
        <v>37400</v>
      </c>
      <c r="M109" s="203"/>
      <c r="N109" s="203"/>
      <c r="O109" s="203"/>
      <c r="P109" s="203"/>
      <c r="Q109" s="203"/>
      <c r="R109" s="203"/>
      <c r="S109" s="203"/>
      <c r="T109" s="203"/>
      <c r="U109" s="212">
        <f t="shared" si="8"/>
        <v>37400</v>
      </c>
    </row>
    <row r="110" spans="1:21" x14ac:dyDescent="0.25">
      <c r="A110" s="28">
        <v>90</v>
      </c>
      <c r="B110" s="26"/>
      <c r="C110" s="49" t="s">
        <v>178</v>
      </c>
      <c r="D110" s="44"/>
      <c r="E110" s="93"/>
      <c r="F110" s="44"/>
      <c r="G110" s="50"/>
      <c r="H110" s="50">
        <f t="shared" si="4"/>
        <v>0</v>
      </c>
      <c r="I110" s="44"/>
      <c r="J110" s="44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12">
        <f t="shared" si="8"/>
        <v>0</v>
      </c>
    </row>
    <row r="111" spans="1:21" x14ac:dyDescent="0.25">
      <c r="A111" s="28">
        <v>91</v>
      </c>
      <c r="B111" s="26"/>
      <c r="C111" s="49" t="s">
        <v>203</v>
      </c>
      <c r="D111" s="44"/>
      <c r="E111" s="93">
        <v>150</v>
      </c>
      <c r="F111" s="44" t="s">
        <v>82</v>
      </c>
      <c r="G111" s="50">
        <v>9000</v>
      </c>
      <c r="H111" s="50">
        <f t="shared" si="4"/>
        <v>1350000</v>
      </c>
      <c r="I111" s="44"/>
      <c r="J111" s="44"/>
      <c r="K111" s="203">
        <f>H111/2</f>
        <v>675000</v>
      </c>
      <c r="L111" s="203"/>
      <c r="M111" s="203"/>
      <c r="N111" s="203"/>
      <c r="O111" s="203">
        <f>K111</f>
        <v>675000</v>
      </c>
      <c r="P111" s="203"/>
      <c r="Q111" s="203"/>
      <c r="R111" s="203"/>
      <c r="S111" s="203"/>
      <c r="T111" s="203"/>
      <c r="U111" s="212">
        <f t="shared" si="8"/>
        <v>1350000</v>
      </c>
    </row>
    <row r="112" spans="1:21" x14ac:dyDescent="0.25">
      <c r="A112" s="28">
        <v>92</v>
      </c>
      <c r="B112" s="26"/>
      <c r="C112" s="49" t="s">
        <v>204</v>
      </c>
      <c r="D112" s="44"/>
      <c r="E112" s="93">
        <v>50</v>
      </c>
      <c r="F112" s="44" t="s">
        <v>82</v>
      </c>
      <c r="G112" s="50">
        <v>9000</v>
      </c>
      <c r="H112" s="50">
        <f t="shared" si="4"/>
        <v>450000</v>
      </c>
      <c r="I112" s="44"/>
      <c r="J112" s="44"/>
      <c r="K112" s="203"/>
      <c r="L112" s="203"/>
      <c r="M112" s="203"/>
      <c r="N112" s="203"/>
      <c r="O112" s="203"/>
      <c r="P112" s="203">
        <f>H112</f>
        <v>450000</v>
      </c>
      <c r="Q112" s="203"/>
      <c r="R112" s="203"/>
      <c r="S112" s="203"/>
      <c r="T112" s="203"/>
      <c r="U112" s="212">
        <f t="shared" si="8"/>
        <v>450000</v>
      </c>
    </row>
    <row r="113" spans="1:21" x14ac:dyDescent="0.25">
      <c r="A113" s="28">
        <v>93</v>
      </c>
      <c r="B113" s="26"/>
      <c r="C113" s="49" t="s">
        <v>222</v>
      </c>
      <c r="D113" s="44"/>
      <c r="E113" s="93">
        <v>100</v>
      </c>
      <c r="F113" s="44" t="s">
        <v>82</v>
      </c>
      <c r="G113" s="50">
        <v>9000</v>
      </c>
      <c r="H113" s="50">
        <f t="shared" si="4"/>
        <v>900000</v>
      </c>
      <c r="I113" s="44"/>
      <c r="J113" s="44"/>
      <c r="K113" s="203"/>
      <c r="L113" s="203"/>
      <c r="M113" s="203">
        <f>H113/2</f>
        <v>450000</v>
      </c>
      <c r="N113" s="203"/>
      <c r="O113" s="203"/>
      <c r="P113" s="203"/>
      <c r="Q113" s="203">
        <f>M113</f>
        <v>450000</v>
      </c>
      <c r="R113" s="203"/>
      <c r="S113" s="203"/>
      <c r="T113" s="203"/>
      <c r="U113" s="212">
        <f t="shared" si="8"/>
        <v>900000</v>
      </c>
    </row>
    <row r="114" spans="1:21" x14ac:dyDescent="0.25">
      <c r="A114" s="28">
        <v>94</v>
      </c>
      <c r="B114" s="26"/>
      <c r="C114" s="49" t="s">
        <v>140</v>
      </c>
      <c r="D114" s="44"/>
      <c r="E114" s="93">
        <v>150</v>
      </c>
      <c r="F114" s="44" t="s">
        <v>82</v>
      </c>
      <c r="G114" s="50">
        <v>9000</v>
      </c>
      <c r="H114" s="50">
        <f t="shared" si="4"/>
        <v>1350000</v>
      </c>
      <c r="I114" s="44"/>
      <c r="J114" s="198">
        <f>H114/2</f>
        <v>675000</v>
      </c>
      <c r="K114" s="203"/>
      <c r="L114" s="203"/>
      <c r="M114" s="203"/>
      <c r="N114" s="203"/>
      <c r="O114" s="203"/>
      <c r="P114" s="203">
        <f>J114</f>
        <v>675000</v>
      </c>
      <c r="Q114" s="203"/>
      <c r="R114" s="203"/>
      <c r="S114" s="203"/>
      <c r="T114" s="203"/>
      <c r="U114" s="212">
        <f t="shared" si="8"/>
        <v>1350000</v>
      </c>
    </row>
    <row r="115" spans="1:21" x14ac:dyDescent="0.25">
      <c r="A115" s="28">
        <v>97</v>
      </c>
      <c r="B115" s="26"/>
      <c r="C115" s="49" t="s">
        <v>223</v>
      </c>
      <c r="D115" s="44"/>
      <c r="E115" s="93">
        <v>100</v>
      </c>
      <c r="F115" s="44" t="s">
        <v>138</v>
      </c>
      <c r="G115" s="50">
        <v>9000</v>
      </c>
      <c r="H115" s="50">
        <f>E115*G115</f>
        <v>900000</v>
      </c>
      <c r="I115" s="44"/>
      <c r="J115" s="44"/>
      <c r="K115" s="203"/>
      <c r="L115" s="203"/>
      <c r="M115" s="203">
        <f>H115</f>
        <v>900000</v>
      </c>
      <c r="N115" s="203"/>
      <c r="O115" s="203"/>
      <c r="P115" s="203"/>
      <c r="Q115" s="203"/>
      <c r="R115" s="203"/>
      <c r="S115" s="203"/>
      <c r="T115" s="203"/>
      <c r="U115" s="212">
        <f t="shared" si="8"/>
        <v>900000</v>
      </c>
    </row>
    <row r="116" spans="1:21" x14ac:dyDescent="0.25">
      <c r="A116" s="28">
        <v>95</v>
      </c>
      <c r="B116" s="26"/>
      <c r="C116" s="94" t="s">
        <v>146</v>
      </c>
      <c r="D116" s="44"/>
      <c r="E116" s="93">
        <v>200</v>
      </c>
      <c r="F116" s="44" t="s">
        <v>82</v>
      </c>
      <c r="G116" s="50">
        <v>9000</v>
      </c>
      <c r="H116" s="50">
        <f t="shared" ref="H116:H133" si="9">E116*G116</f>
        <v>1800000</v>
      </c>
      <c r="I116" s="44"/>
      <c r="J116" s="198">
        <f>H116/2</f>
        <v>900000</v>
      </c>
      <c r="K116" s="203"/>
      <c r="L116" s="203"/>
      <c r="M116" s="203">
        <f>J116</f>
        <v>900000</v>
      </c>
      <c r="N116" s="203"/>
      <c r="O116" s="203"/>
      <c r="P116" s="203"/>
      <c r="Q116" s="203"/>
      <c r="R116" s="203"/>
      <c r="S116" s="203"/>
      <c r="T116" s="203"/>
      <c r="U116" s="212">
        <f t="shared" si="8"/>
        <v>1800000</v>
      </c>
    </row>
    <row r="117" spans="1:21" x14ac:dyDescent="0.25">
      <c r="A117" s="28">
        <v>96</v>
      </c>
      <c r="B117" s="26"/>
      <c r="C117" s="49" t="s">
        <v>147</v>
      </c>
      <c r="D117" s="44"/>
      <c r="E117" s="93">
        <v>10</v>
      </c>
      <c r="F117" s="44" t="s">
        <v>82</v>
      </c>
      <c r="G117" s="50">
        <v>9000</v>
      </c>
      <c r="H117" s="50">
        <f t="shared" si="9"/>
        <v>90000</v>
      </c>
      <c r="I117" s="44"/>
      <c r="J117" s="212">
        <f>H117</f>
        <v>90000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12">
        <f t="shared" si="8"/>
        <v>90000</v>
      </c>
    </row>
    <row r="118" spans="1:21" x14ac:dyDescent="0.25">
      <c r="A118" s="28">
        <v>99</v>
      </c>
      <c r="B118" s="26"/>
      <c r="C118" s="49" t="s">
        <v>180</v>
      </c>
      <c r="D118" s="44"/>
      <c r="E118" s="93">
        <v>5</v>
      </c>
      <c r="F118" s="44" t="s">
        <v>138</v>
      </c>
      <c r="G118" s="50">
        <v>4600</v>
      </c>
      <c r="H118" s="50">
        <f t="shared" si="9"/>
        <v>23000</v>
      </c>
      <c r="I118" s="44"/>
      <c r="J118" s="44"/>
      <c r="K118" s="203"/>
      <c r="L118" s="203">
        <v>23000</v>
      </c>
      <c r="M118" s="203"/>
      <c r="N118" s="203"/>
      <c r="O118" s="203"/>
      <c r="P118" s="203"/>
      <c r="Q118" s="203"/>
      <c r="R118" s="203"/>
      <c r="S118" s="203"/>
      <c r="T118" s="203"/>
      <c r="U118" s="212">
        <f t="shared" si="8"/>
        <v>23000</v>
      </c>
    </row>
    <row r="119" spans="1:21" x14ac:dyDescent="0.25">
      <c r="A119" s="28">
        <v>100</v>
      </c>
      <c r="B119" s="26"/>
      <c r="C119" s="49" t="s">
        <v>181</v>
      </c>
      <c r="D119" s="44"/>
      <c r="E119" s="93">
        <v>10</v>
      </c>
      <c r="F119" s="44" t="s">
        <v>138</v>
      </c>
      <c r="G119" s="50">
        <v>4400</v>
      </c>
      <c r="H119" s="50">
        <f t="shared" si="9"/>
        <v>44000</v>
      </c>
      <c r="I119" s="44"/>
      <c r="J119" s="44"/>
      <c r="K119" s="203"/>
      <c r="L119" s="203">
        <v>44000</v>
      </c>
      <c r="M119" s="203"/>
      <c r="N119" s="203"/>
      <c r="O119" s="203"/>
      <c r="P119" s="203"/>
      <c r="Q119" s="203"/>
      <c r="R119" s="203"/>
      <c r="S119" s="203"/>
      <c r="T119" s="203"/>
      <c r="U119" s="212">
        <f t="shared" si="8"/>
        <v>44000</v>
      </c>
    </row>
    <row r="120" spans="1:21" x14ac:dyDescent="0.25">
      <c r="A120" s="28">
        <v>101</v>
      </c>
      <c r="B120" s="26"/>
      <c r="C120" s="49" t="s">
        <v>182</v>
      </c>
      <c r="D120" s="44"/>
      <c r="E120" s="93">
        <v>30</v>
      </c>
      <c r="F120" s="44" t="s">
        <v>138</v>
      </c>
      <c r="G120" s="50">
        <v>4200</v>
      </c>
      <c r="H120" s="50">
        <f t="shared" si="9"/>
        <v>126000</v>
      </c>
      <c r="I120" s="44"/>
      <c r="J120" s="44"/>
      <c r="K120" s="203"/>
      <c r="L120" s="203">
        <v>126000</v>
      </c>
      <c r="M120" s="203"/>
      <c r="N120" s="203"/>
      <c r="O120" s="203"/>
      <c r="P120" s="203"/>
      <c r="Q120" s="203"/>
      <c r="R120" s="203"/>
      <c r="S120" s="203"/>
      <c r="T120" s="203"/>
      <c r="U120" s="212">
        <f t="shared" si="8"/>
        <v>126000</v>
      </c>
    </row>
    <row r="121" spans="1:21" x14ac:dyDescent="0.25">
      <c r="A121" s="28">
        <v>98</v>
      </c>
      <c r="B121" s="26"/>
      <c r="C121" s="49" t="s">
        <v>179</v>
      </c>
      <c r="D121" s="44"/>
      <c r="E121" s="93">
        <v>60</v>
      </c>
      <c r="F121" s="44" t="s">
        <v>138</v>
      </c>
      <c r="G121" s="50">
        <v>4000</v>
      </c>
      <c r="H121" s="50">
        <f>E121*G121</f>
        <v>240000</v>
      </c>
      <c r="I121" s="44"/>
      <c r="J121" s="44"/>
      <c r="K121" s="203"/>
      <c r="L121" s="203">
        <v>240000</v>
      </c>
      <c r="M121" s="203"/>
      <c r="N121" s="203"/>
      <c r="O121" s="203"/>
      <c r="P121" s="203"/>
      <c r="Q121" s="203"/>
      <c r="R121" s="203"/>
      <c r="S121" s="203"/>
      <c r="T121" s="203"/>
      <c r="U121" s="212">
        <f t="shared" si="8"/>
        <v>240000</v>
      </c>
    </row>
    <row r="122" spans="1:21" x14ac:dyDescent="0.25">
      <c r="A122" s="28">
        <v>102</v>
      </c>
      <c r="B122" s="26"/>
      <c r="C122" s="49" t="s">
        <v>183</v>
      </c>
      <c r="D122" s="44"/>
      <c r="E122" s="93">
        <f>440+165</f>
        <v>605</v>
      </c>
      <c r="F122" s="44" t="s">
        <v>138</v>
      </c>
      <c r="G122" s="50">
        <v>580</v>
      </c>
      <c r="H122" s="50">
        <f t="shared" si="9"/>
        <v>350900</v>
      </c>
      <c r="I122" s="44"/>
      <c r="J122" s="44"/>
      <c r="K122" s="203"/>
      <c r="L122" s="203">
        <v>350900</v>
      </c>
      <c r="M122" s="203"/>
      <c r="N122" s="203"/>
      <c r="O122" s="203"/>
      <c r="P122" s="203"/>
      <c r="Q122" s="203"/>
      <c r="R122" s="203"/>
      <c r="S122" s="203"/>
      <c r="T122" s="203"/>
      <c r="U122" s="212">
        <f t="shared" si="8"/>
        <v>350900</v>
      </c>
    </row>
    <row r="123" spans="1:21" x14ac:dyDescent="0.25">
      <c r="A123" s="28">
        <v>103</v>
      </c>
      <c r="B123" s="26"/>
      <c r="C123" s="49" t="s">
        <v>184</v>
      </c>
      <c r="D123" s="44"/>
      <c r="E123" s="93">
        <v>55</v>
      </c>
      <c r="F123" s="44" t="s">
        <v>138</v>
      </c>
      <c r="G123" s="50">
        <v>670</v>
      </c>
      <c r="H123" s="50">
        <f t="shared" si="9"/>
        <v>36850</v>
      </c>
      <c r="I123" s="44"/>
      <c r="J123" s="44"/>
      <c r="K123" s="203"/>
      <c r="L123" s="203">
        <v>36850</v>
      </c>
      <c r="M123" s="203"/>
      <c r="N123" s="203"/>
      <c r="O123" s="203"/>
      <c r="P123" s="203"/>
      <c r="Q123" s="203"/>
      <c r="R123" s="203"/>
      <c r="S123" s="203"/>
      <c r="T123" s="203"/>
      <c r="U123" s="212">
        <f t="shared" si="8"/>
        <v>36850</v>
      </c>
    </row>
    <row r="124" spans="1:21" x14ac:dyDescent="0.25">
      <c r="A124" s="28">
        <v>104</v>
      </c>
      <c r="B124" s="26"/>
      <c r="C124" s="49" t="s">
        <v>185</v>
      </c>
      <c r="D124" s="44"/>
      <c r="E124" s="93">
        <v>5</v>
      </c>
      <c r="F124" s="44" t="s">
        <v>138</v>
      </c>
      <c r="G124" s="50">
        <v>870</v>
      </c>
      <c r="H124" s="50">
        <f t="shared" si="9"/>
        <v>4350</v>
      </c>
      <c r="I124" s="44"/>
      <c r="J124" s="44"/>
      <c r="K124" s="203"/>
      <c r="L124" s="203">
        <v>4350</v>
      </c>
      <c r="M124" s="203"/>
      <c r="N124" s="203"/>
      <c r="O124" s="203"/>
      <c r="P124" s="203"/>
      <c r="Q124" s="203"/>
      <c r="R124" s="203"/>
      <c r="S124" s="203"/>
      <c r="T124" s="203"/>
      <c r="U124" s="212">
        <f t="shared" si="8"/>
        <v>4350</v>
      </c>
    </row>
    <row r="125" spans="1:21" x14ac:dyDescent="0.25">
      <c r="A125" s="28">
        <v>105</v>
      </c>
      <c r="B125" s="26"/>
      <c r="C125" s="49" t="s">
        <v>186</v>
      </c>
      <c r="D125" s="44"/>
      <c r="E125" s="93">
        <v>10</v>
      </c>
      <c r="F125" s="44" t="s">
        <v>138</v>
      </c>
      <c r="G125" s="50">
        <v>800</v>
      </c>
      <c r="H125" s="50">
        <f t="shared" si="9"/>
        <v>8000</v>
      </c>
      <c r="I125" s="44"/>
      <c r="J125" s="44"/>
      <c r="K125" s="203"/>
      <c r="L125" s="203">
        <v>8000</v>
      </c>
      <c r="M125" s="203"/>
      <c r="N125" s="203"/>
      <c r="O125" s="203"/>
      <c r="P125" s="203"/>
      <c r="Q125" s="203"/>
      <c r="R125" s="203"/>
      <c r="S125" s="203"/>
      <c r="T125" s="203"/>
      <c r="U125" s="212">
        <f t="shared" si="8"/>
        <v>8000</v>
      </c>
    </row>
    <row r="126" spans="1:21" x14ac:dyDescent="0.25">
      <c r="A126" s="28">
        <v>106</v>
      </c>
      <c r="B126" s="26"/>
      <c r="C126" s="49" t="s">
        <v>187</v>
      </c>
      <c r="D126" s="44"/>
      <c r="E126" s="93">
        <v>30</v>
      </c>
      <c r="F126" s="44" t="s">
        <v>138</v>
      </c>
      <c r="G126" s="50">
        <v>740</v>
      </c>
      <c r="H126" s="50">
        <f t="shared" si="9"/>
        <v>22200</v>
      </c>
      <c r="I126" s="44"/>
      <c r="J126" s="44"/>
      <c r="K126" s="203"/>
      <c r="L126" s="203">
        <v>22200</v>
      </c>
      <c r="M126" s="203"/>
      <c r="N126" s="203"/>
      <c r="O126" s="203"/>
      <c r="P126" s="203"/>
      <c r="Q126" s="203"/>
      <c r="R126" s="203"/>
      <c r="S126" s="203"/>
      <c r="T126" s="203"/>
      <c r="U126" s="212">
        <f t="shared" si="8"/>
        <v>22200</v>
      </c>
    </row>
    <row r="127" spans="1:21" x14ac:dyDescent="0.25">
      <c r="A127" s="28">
        <v>107</v>
      </c>
      <c r="B127" s="26"/>
      <c r="C127" s="49" t="s">
        <v>188</v>
      </c>
      <c r="D127" s="44"/>
      <c r="E127" s="93">
        <v>440</v>
      </c>
      <c r="F127" s="44" t="s">
        <v>138</v>
      </c>
      <c r="G127" s="50">
        <v>250</v>
      </c>
      <c r="H127" s="50">
        <f t="shared" si="9"/>
        <v>110000</v>
      </c>
      <c r="I127" s="44"/>
      <c r="J127" s="44"/>
      <c r="K127" s="203"/>
      <c r="L127" s="203">
        <v>110000</v>
      </c>
      <c r="M127" s="203"/>
      <c r="N127" s="203"/>
      <c r="O127" s="203"/>
      <c r="P127" s="203"/>
      <c r="Q127" s="203"/>
      <c r="R127" s="203"/>
      <c r="S127" s="203"/>
      <c r="T127" s="203"/>
      <c r="U127" s="212">
        <f t="shared" si="8"/>
        <v>110000</v>
      </c>
    </row>
    <row r="128" spans="1:21" x14ac:dyDescent="0.25">
      <c r="A128" s="28">
        <v>108</v>
      </c>
      <c r="B128" s="26"/>
      <c r="C128" s="49" t="s">
        <v>189</v>
      </c>
      <c r="D128" s="44"/>
      <c r="E128" s="93">
        <f>440*5</f>
        <v>2200</v>
      </c>
      <c r="F128" s="44" t="s">
        <v>138</v>
      </c>
      <c r="G128" s="50">
        <v>100</v>
      </c>
      <c r="H128" s="50">
        <f t="shared" si="9"/>
        <v>220000</v>
      </c>
      <c r="I128" s="44"/>
      <c r="J128" s="44"/>
      <c r="K128" s="203"/>
      <c r="L128" s="203">
        <v>220000</v>
      </c>
      <c r="M128" s="203"/>
      <c r="N128" s="203"/>
      <c r="O128" s="203"/>
      <c r="P128" s="203"/>
      <c r="Q128" s="203"/>
      <c r="R128" s="203"/>
      <c r="S128" s="203"/>
      <c r="T128" s="203"/>
      <c r="U128" s="212">
        <f t="shared" si="8"/>
        <v>220000</v>
      </c>
    </row>
    <row r="129" spans="1:21" x14ac:dyDescent="0.25">
      <c r="A129" s="28">
        <v>109</v>
      </c>
      <c r="B129" s="26"/>
      <c r="C129" s="49" t="s">
        <v>190</v>
      </c>
      <c r="D129" s="44"/>
      <c r="E129" s="93"/>
      <c r="F129" s="44"/>
      <c r="G129" s="50"/>
      <c r="H129" s="50">
        <f t="shared" si="9"/>
        <v>0</v>
      </c>
      <c r="I129" s="44"/>
      <c r="J129" s="44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12">
        <f t="shared" si="8"/>
        <v>0</v>
      </c>
    </row>
    <row r="130" spans="1:21" x14ac:dyDescent="0.25">
      <c r="A130" s="28">
        <v>110</v>
      </c>
      <c r="B130" s="26"/>
      <c r="C130" s="49" t="s">
        <v>145</v>
      </c>
      <c r="D130" s="44"/>
      <c r="E130" s="93">
        <v>100</v>
      </c>
      <c r="F130" s="44" t="s">
        <v>82</v>
      </c>
      <c r="G130" s="50">
        <v>9000</v>
      </c>
      <c r="H130" s="50">
        <f t="shared" si="9"/>
        <v>900000</v>
      </c>
      <c r="I130" s="44"/>
      <c r="J130" s="198">
        <f>H130/2</f>
        <v>450000</v>
      </c>
      <c r="K130" s="203"/>
      <c r="L130" s="203"/>
      <c r="M130" s="203"/>
      <c r="N130" s="203"/>
      <c r="O130" s="203"/>
      <c r="P130" s="203"/>
      <c r="Q130" s="203">
        <f>J130</f>
        <v>450000</v>
      </c>
      <c r="R130" s="203"/>
      <c r="S130" s="203"/>
      <c r="T130" s="203"/>
      <c r="U130" s="212">
        <f t="shared" si="8"/>
        <v>900000</v>
      </c>
    </row>
    <row r="131" spans="1:21" x14ac:dyDescent="0.25">
      <c r="A131" s="28">
        <v>111</v>
      </c>
      <c r="B131" s="26"/>
      <c r="C131" s="94" t="s">
        <v>146</v>
      </c>
      <c r="D131" s="44"/>
      <c r="E131" s="93">
        <v>200</v>
      </c>
      <c r="F131" s="44" t="s">
        <v>82</v>
      </c>
      <c r="G131" s="50">
        <v>9000</v>
      </c>
      <c r="H131" s="50">
        <f t="shared" si="9"/>
        <v>1800000</v>
      </c>
      <c r="I131" s="44"/>
      <c r="J131" s="198">
        <f>H131/2</f>
        <v>900000</v>
      </c>
      <c r="K131" s="203"/>
      <c r="L131" s="203"/>
      <c r="M131" s="203">
        <f>J131</f>
        <v>900000</v>
      </c>
      <c r="N131" s="203"/>
      <c r="O131" s="203"/>
      <c r="P131" s="203"/>
      <c r="Q131" s="203"/>
      <c r="R131" s="203"/>
      <c r="S131" s="203"/>
      <c r="T131" s="203"/>
      <c r="U131" s="212">
        <f t="shared" si="8"/>
        <v>1800000</v>
      </c>
    </row>
    <row r="132" spans="1:21" x14ac:dyDescent="0.25">
      <c r="A132" s="28">
        <v>91</v>
      </c>
      <c r="B132" s="26"/>
      <c r="C132" s="49" t="s">
        <v>203</v>
      </c>
      <c r="D132" s="44"/>
      <c r="E132" s="93">
        <v>150</v>
      </c>
      <c r="F132" s="44" t="s">
        <v>82</v>
      </c>
      <c r="G132" s="50">
        <v>9000</v>
      </c>
      <c r="H132" s="50">
        <f t="shared" si="9"/>
        <v>1350000</v>
      </c>
      <c r="I132" s="44"/>
      <c r="J132" s="44"/>
      <c r="K132" s="203">
        <f>H132/2</f>
        <v>675000</v>
      </c>
      <c r="L132" s="203"/>
      <c r="M132" s="203"/>
      <c r="N132" s="203"/>
      <c r="O132" s="203">
        <f>K132</f>
        <v>675000</v>
      </c>
      <c r="P132" s="203"/>
      <c r="Q132" s="203"/>
      <c r="R132" s="203"/>
      <c r="S132" s="203"/>
      <c r="T132" s="203"/>
      <c r="U132" s="212">
        <f t="shared" si="8"/>
        <v>1350000</v>
      </c>
    </row>
    <row r="133" spans="1:21" x14ac:dyDescent="0.25">
      <c r="A133" s="28">
        <v>92</v>
      </c>
      <c r="B133" s="26"/>
      <c r="C133" s="49" t="s">
        <v>204</v>
      </c>
      <c r="D133" s="44"/>
      <c r="E133" s="93">
        <v>50</v>
      </c>
      <c r="F133" s="44" t="s">
        <v>82</v>
      </c>
      <c r="G133" s="50">
        <v>9000</v>
      </c>
      <c r="H133" s="50">
        <f t="shared" si="9"/>
        <v>450000</v>
      </c>
      <c r="I133" s="44"/>
      <c r="J133" s="44"/>
      <c r="K133" s="203"/>
      <c r="L133" s="203"/>
      <c r="M133" s="203"/>
      <c r="N133" s="203"/>
      <c r="O133" s="203"/>
      <c r="P133" s="203">
        <f>H133</f>
        <v>450000</v>
      </c>
      <c r="Q133" s="203"/>
      <c r="R133" s="203"/>
      <c r="S133" s="203"/>
      <c r="T133" s="203"/>
      <c r="U133" s="212">
        <f t="shared" si="8"/>
        <v>450000</v>
      </c>
    </row>
    <row r="134" spans="1:21" s="90" customFormat="1" ht="29.25" customHeight="1" x14ac:dyDescent="0.25">
      <c r="A134" s="28">
        <v>112</v>
      </c>
      <c r="B134" s="125"/>
      <c r="C134" s="126" t="s">
        <v>45</v>
      </c>
      <c r="D134" s="125"/>
      <c r="E134" s="125"/>
      <c r="F134" s="125"/>
      <c r="G134" s="127"/>
      <c r="H134" s="128">
        <f>H40+H14</f>
        <v>471559175</v>
      </c>
      <c r="I134" s="125"/>
      <c r="J134" s="205">
        <f>SUM(J41:J133)</f>
        <v>12177175</v>
      </c>
      <c r="K134" s="205">
        <f t="shared" ref="K134:T134" si="10">SUM(K41:K133)</f>
        <v>6575779.166666666</v>
      </c>
      <c r="L134" s="205">
        <f t="shared" si="10"/>
        <v>3636950</v>
      </c>
      <c r="M134" s="205">
        <f t="shared" si="10"/>
        <v>3530000</v>
      </c>
      <c r="N134" s="205">
        <f t="shared" si="10"/>
        <v>340000</v>
      </c>
      <c r="O134" s="205">
        <f t="shared" si="10"/>
        <v>5156779.166666666</v>
      </c>
      <c r="P134" s="205">
        <f t="shared" si="10"/>
        <v>7080500</v>
      </c>
      <c r="Q134" s="205">
        <f t="shared" si="10"/>
        <v>3135750</v>
      </c>
      <c r="R134" s="205">
        <f t="shared" si="10"/>
        <v>806666.66666666663</v>
      </c>
      <c r="S134" s="205">
        <f t="shared" si="10"/>
        <v>0</v>
      </c>
      <c r="T134" s="205">
        <f t="shared" si="10"/>
        <v>340000</v>
      </c>
      <c r="U134" s="129">
        <f t="shared" ref="U134" si="11">U40+U14</f>
        <v>42779600</v>
      </c>
    </row>
    <row r="135" spans="1:21" x14ac:dyDescent="0.25">
      <c r="A135" s="267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9"/>
      <c r="M135" s="270"/>
      <c r="N135" s="270"/>
      <c r="O135" s="270"/>
      <c r="P135" s="270"/>
      <c r="Q135" s="270"/>
      <c r="R135" s="270"/>
      <c r="S135" s="270"/>
      <c r="T135" s="270"/>
      <c r="U135" s="270"/>
    </row>
    <row r="136" spans="1:21" x14ac:dyDescent="0.25">
      <c r="G136" s="113"/>
      <c r="J136" s="56"/>
      <c r="U136" s="56"/>
    </row>
    <row r="137" spans="1:21" x14ac:dyDescent="0.25">
      <c r="J137" s="56"/>
      <c r="U137" s="56"/>
    </row>
    <row r="138" spans="1:21" x14ac:dyDescent="0.25">
      <c r="I138" s="57"/>
    </row>
    <row r="139" spans="1:21" s="48" customFormat="1" x14ac:dyDescent="0.25">
      <c r="B139" s="58"/>
      <c r="C139" s="59" t="s">
        <v>46</v>
      </c>
      <c r="D139" s="58"/>
      <c r="E139" s="58"/>
      <c r="F139" s="58"/>
      <c r="G139" s="60"/>
      <c r="H139" s="60"/>
      <c r="I139" s="262" t="s">
        <v>48</v>
      </c>
      <c r="J139" s="262"/>
      <c r="K139" s="262"/>
      <c r="L139" s="207"/>
      <c r="M139" s="208"/>
      <c r="N139" s="208"/>
      <c r="O139" s="208"/>
      <c r="P139" s="208"/>
      <c r="Q139" s="208"/>
      <c r="R139" s="208"/>
      <c r="S139" s="208"/>
      <c r="T139" s="208"/>
      <c r="U139" s="58"/>
    </row>
    <row r="140" spans="1:21" s="48" customFormat="1" x14ac:dyDescent="0.25">
      <c r="A140" s="61"/>
      <c r="B140" s="61"/>
      <c r="D140" s="61"/>
      <c r="E140" s="61"/>
      <c r="F140" s="61"/>
      <c r="G140" s="62"/>
      <c r="H140" s="62"/>
      <c r="I140" s="61"/>
      <c r="J140" s="61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61"/>
    </row>
    <row r="141" spans="1:21" s="48" customFormat="1" x14ac:dyDescent="0.25">
      <c r="A141" s="61"/>
      <c r="B141" s="61"/>
      <c r="D141" s="61"/>
      <c r="E141" s="61"/>
      <c r="F141" s="61"/>
      <c r="G141" s="62"/>
      <c r="H141" s="62"/>
      <c r="I141" s="61"/>
      <c r="J141" s="61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61"/>
    </row>
    <row r="142" spans="1:21" s="48" customFormat="1" x14ac:dyDescent="0.25">
      <c r="A142" s="61"/>
      <c r="B142" s="61"/>
      <c r="D142" s="61"/>
      <c r="E142" s="61"/>
      <c r="F142" s="61"/>
      <c r="G142" s="62"/>
      <c r="H142" s="62"/>
      <c r="I142" s="61"/>
      <c r="J142" s="61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61"/>
    </row>
    <row r="143" spans="1:21" s="48" customFormat="1" ht="15" x14ac:dyDescent="0.25">
      <c r="A143" s="61"/>
      <c r="B143" s="61"/>
      <c r="C143" s="63" t="s">
        <v>93</v>
      </c>
      <c r="D143" s="64"/>
      <c r="E143" s="61"/>
      <c r="F143" s="61"/>
      <c r="G143" s="62"/>
      <c r="H143" s="62"/>
      <c r="I143" s="260" t="s">
        <v>51</v>
      </c>
      <c r="J143" s="260"/>
      <c r="K143" s="260"/>
      <c r="L143" s="260"/>
      <c r="M143" s="207"/>
      <c r="N143" s="207"/>
      <c r="O143" s="207"/>
      <c r="P143" s="207"/>
      <c r="Q143" s="207"/>
      <c r="R143" s="207"/>
      <c r="S143" s="207"/>
      <c r="T143" s="207"/>
      <c r="U143" s="61"/>
    </row>
    <row r="144" spans="1:21" s="48" customFormat="1" x14ac:dyDescent="0.25">
      <c r="A144" s="61"/>
      <c r="B144" s="61"/>
      <c r="C144" s="48" t="s">
        <v>94</v>
      </c>
      <c r="D144" s="61"/>
      <c r="E144" s="61"/>
      <c r="F144" s="61"/>
      <c r="G144" s="62"/>
      <c r="H144" s="62"/>
      <c r="I144" s="261" t="s">
        <v>53</v>
      </c>
      <c r="J144" s="261"/>
      <c r="K144" s="261"/>
      <c r="L144" s="261"/>
      <c r="M144" s="207"/>
      <c r="N144" s="207"/>
      <c r="O144" s="207"/>
      <c r="P144" s="207"/>
      <c r="Q144" s="207"/>
      <c r="R144" s="207"/>
      <c r="S144" s="207"/>
      <c r="T144" s="207"/>
      <c r="U144" s="61"/>
    </row>
    <row r="145" spans="1:21" s="48" customFormat="1" x14ac:dyDescent="0.25">
      <c r="A145" s="61"/>
      <c r="B145" s="61"/>
      <c r="C145" s="259" t="s">
        <v>95</v>
      </c>
      <c r="D145" s="259"/>
      <c r="E145" s="61"/>
      <c r="F145" s="61"/>
      <c r="G145" s="62"/>
      <c r="H145" s="62"/>
      <c r="I145" s="261" t="s">
        <v>55</v>
      </c>
      <c r="J145" s="261"/>
      <c r="K145" s="261"/>
      <c r="L145" s="261"/>
      <c r="M145" s="207"/>
      <c r="N145" s="207"/>
      <c r="O145" s="207"/>
      <c r="P145" s="207"/>
      <c r="Q145" s="207"/>
      <c r="R145" s="207"/>
      <c r="S145" s="207"/>
      <c r="T145" s="207"/>
      <c r="U145" s="61"/>
    </row>
    <row r="146" spans="1:21" s="48" customFormat="1" x14ac:dyDescent="0.25">
      <c r="A146" s="61"/>
      <c r="B146" s="61"/>
      <c r="D146" s="61"/>
      <c r="E146" s="61"/>
      <c r="F146" s="61"/>
      <c r="G146" s="62"/>
      <c r="H146" s="62"/>
      <c r="I146" s="61"/>
      <c r="J146" s="61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61"/>
    </row>
    <row r="148" spans="1:21" x14ac:dyDescent="0.25">
      <c r="J148" s="51">
        <v>96</v>
      </c>
      <c r="K148" s="206">
        <v>36</v>
      </c>
      <c r="L148" s="206">
        <v>22</v>
      </c>
      <c r="M148" s="206">
        <v>277</v>
      </c>
      <c r="N148" s="206">
        <v>32</v>
      </c>
      <c r="O148" s="206">
        <v>15</v>
      </c>
      <c r="P148" s="206">
        <v>151</v>
      </c>
      <c r="Q148" s="206">
        <v>29</v>
      </c>
      <c r="R148" s="206">
        <v>16</v>
      </c>
      <c r="S148" s="206">
        <v>131</v>
      </c>
      <c r="T148" s="206">
        <v>22</v>
      </c>
      <c r="U148" s="51">
        <v>13</v>
      </c>
    </row>
    <row r="149" spans="1:21" x14ac:dyDescent="0.25">
      <c r="J149" s="51">
        <f t="shared" ref="J149:U149" si="12">J40+J14</f>
        <v>12177199</v>
      </c>
      <c r="K149" s="206">
        <f t="shared" si="12"/>
        <v>5900779.166666666</v>
      </c>
      <c r="L149" s="206">
        <f t="shared" si="12"/>
        <v>3636950</v>
      </c>
      <c r="M149" s="206">
        <f t="shared" si="12"/>
        <v>3530000</v>
      </c>
      <c r="N149" s="206">
        <f t="shared" si="12"/>
        <v>340000</v>
      </c>
      <c r="O149" s="206">
        <f t="shared" si="12"/>
        <v>4481779.166666666</v>
      </c>
      <c r="P149" s="206">
        <f t="shared" si="12"/>
        <v>6630500</v>
      </c>
      <c r="Q149" s="206">
        <f t="shared" si="12"/>
        <v>3135750</v>
      </c>
      <c r="R149" s="206">
        <f t="shared" si="12"/>
        <v>806666.66666666663</v>
      </c>
      <c r="S149" s="206">
        <f t="shared" si="12"/>
        <v>0</v>
      </c>
      <c r="T149" s="206">
        <f t="shared" si="12"/>
        <v>340000</v>
      </c>
      <c r="U149" s="51">
        <f t="shared" si="12"/>
        <v>42779600</v>
      </c>
    </row>
    <row r="150" spans="1:21" x14ac:dyDescent="0.25">
      <c r="J150" s="51">
        <f>SUM(J148:J149)</f>
        <v>12177295</v>
      </c>
      <c r="K150" s="206">
        <f t="shared" ref="K150:U150" si="13">SUM(K148:K149)</f>
        <v>5900815.166666666</v>
      </c>
      <c r="L150" s="206">
        <f t="shared" si="13"/>
        <v>3636972</v>
      </c>
      <c r="M150" s="206">
        <f t="shared" si="13"/>
        <v>3530277</v>
      </c>
      <c r="N150" s="206">
        <f t="shared" si="13"/>
        <v>340032</v>
      </c>
      <c r="O150" s="206">
        <f t="shared" si="13"/>
        <v>4481794.166666666</v>
      </c>
      <c r="P150" s="206">
        <f t="shared" si="13"/>
        <v>6630651</v>
      </c>
      <c r="Q150" s="206">
        <f t="shared" si="13"/>
        <v>3135779</v>
      </c>
      <c r="R150" s="206">
        <f t="shared" si="13"/>
        <v>806682.66666666663</v>
      </c>
      <c r="S150" s="206">
        <f t="shared" si="13"/>
        <v>131</v>
      </c>
      <c r="T150" s="206">
        <f t="shared" si="13"/>
        <v>340022</v>
      </c>
      <c r="U150" s="51">
        <f t="shared" si="13"/>
        <v>42779613</v>
      </c>
    </row>
    <row r="152" spans="1:21" x14ac:dyDescent="0.25">
      <c r="J152" s="51">
        <v>120</v>
      </c>
      <c r="K152" s="206">
        <v>36</v>
      </c>
      <c r="L152" s="206">
        <v>22</v>
      </c>
      <c r="M152" s="206">
        <v>277</v>
      </c>
      <c r="N152" s="206">
        <v>32</v>
      </c>
      <c r="O152" s="206">
        <v>15</v>
      </c>
      <c r="P152" s="206">
        <v>151</v>
      </c>
      <c r="Q152" s="206">
        <v>29</v>
      </c>
      <c r="R152" s="206">
        <v>16</v>
      </c>
      <c r="S152" s="206">
        <v>131</v>
      </c>
      <c r="T152" s="206">
        <v>22</v>
      </c>
      <c r="U152" s="51">
        <v>13</v>
      </c>
    </row>
    <row r="169" spans="1:21" x14ac:dyDescent="0.25">
      <c r="I169" s="57"/>
    </row>
    <row r="171" spans="1:21" x14ac:dyDescent="0.25">
      <c r="H171" s="38"/>
    </row>
    <row r="172" spans="1:21" ht="30" x14ac:dyDescent="0.25">
      <c r="A172" s="53">
        <v>3</v>
      </c>
      <c r="B172" s="36" t="s">
        <v>19</v>
      </c>
      <c r="C172" s="35" t="s">
        <v>20</v>
      </c>
      <c r="D172" s="36" t="s">
        <v>21</v>
      </c>
      <c r="E172" s="36"/>
      <c r="F172" s="36"/>
      <c r="G172" s="37"/>
      <c r="H172" s="38">
        <f>H173+H175+H177+H179+H181+H183+H185+H187+H189+H191+H193+H195+H197</f>
        <v>8967284.9600000009</v>
      </c>
      <c r="I172" s="36" t="s">
        <v>22</v>
      </c>
      <c r="J172" s="46">
        <v>2</v>
      </c>
      <c r="K172" s="209">
        <v>1</v>
      </c>
      <c r="L172" s="209">
        <v>1</v>
      </c>
      <c r="M172" s="209">
        <v>4</v>
      </c>
      <c r="N172" s="209">
        <v>2</v>
      </c>
      <c r="O172" s="209">
        <v>2</v>
      </c>
      <c r="P172" s="209">
        <v>4</v>
      </c>
      <c r="Q172" s="209">
        <v>1</v>
      </c>
      <c r="R172" s="209">
        <v>1</v>
      </c>
      <c r="S172" s="209">
        <v>2</v>
      </c>
      <c r="T172" s="209">
        <v>1</v>
      </c>
      <c r="U172" s="46">
        <v>1</v>
      </c>
    </row>
    <row r="173" spans="1:21" ht="30" x14ac:dyDescent="0.25">
      <c r="A173" s="53">
        <v>4</v>
      </c>
      <c r="B173" s="40" t="s">
        <v>19</v>
      </c>
      <c r="C173" s="39" t="s">
        <v>37</v>
      </c>
      <c r="D173" s="40" t="s">
        <v>25</v>
      </c>
      <c r="E173" s="40"/>
      <c r="F173" s="40"/>
      <c r="G173" s="41"/>
      <c r="H173" s="42">
        <v>250000</v>
      </c>
      <c r="I173" s="40" t="s">
        <v>22</v>
      </c>
      <c r="J173" s="43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43"/>
    </row>
    <row r="174" spans="1:21" x14ac:dyDescent="0.25">
      <c r="A174" s="29">
        <v>5</v>
      </c>
      <c r="B174" s="26"/>
      <c r="C174" s="45" t="s">
        <v>20</v>
      </c>
      <c r="D174" s="26"/>
      <c r="E174" s="30">
        <v>2</v>
      </c>
      <c r="F174" s="26" t="s">
        <v>96</v>
      </c>
      <c r="G174" s="31">
        <v>125000</v>
      </c>
      <c r="H174" s="31">
        <v>250000</v>
      </c>
      <c r="I174" s="44"/>
      <c r="J174" s="44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44"/>
    </row>
    <row r="175" spans="1:21" ht="30" x14ac:dyDescent="0.25">
      <c r="A175" s="53">
        <v>6</v>
      </c>
      <c r="B175" s="40" t="s">
        <v>19</v>
      </c>
      <c r="C175" s="39" t="s">
        <v>31</v>
      </c>
      <c r="D175" s="40" t="s">
        <v>25</v>
      </c>
      <c r="E175" s="40"/>
      <c r="F175" s="40"/>
      <c r="G175" s="41"/>
      <c r="H175" s="42">
        <v>1776555</v>
      </c>
      <c r="I175" s="40" t="s">
        <v>22</v>
      </c>
      <c r="J175" s="43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43"/>
    </row>
    <row r="176" spans="1:21" x14ac:dyDescent="0.25">
      <c r="A176" s="29">
        <v>7</v>
      </c>
      <c r="B176" s="26"/>
      <c r="C176" s="45" t="s">
        <v>97</v>
      </c>
      <c r="D176" s="26"/>
      <c r="E176" s="30">
        <v>2</v>
      </c>
      <c r="F176" s="26" t="s">
        <v>84</v>
      </c>
      <c r="G176" s="31">
        <v>888277.5</v>
      </c>
      <c r="H176" s="31">
        <v>1776555</v>
      </c>
      <c r="I176" s="44"/>
      <c r="J176" s="44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44"/>
    </row>
    <row r="177" spans="1:21" ht="30" x14ac:dyDescent="0.25">
      <c r="A177" s="53">
        <v>8</v>
      </c>
      <c r="B177" s="40" t="s">
        <v>19</v>
      </c>
      <c r="C177" s="39" t="s">
        <v>28</v>
      </c>
      <c r="D177" s="40" t="s">
        <v>25</v>
      </c>
      <c r="E177" s="40"/>
      <c r="F177" s="40"/>
      <c r="G177" s="41"/>
      <c r="H177" s="42">
        <v>100000</v>
      </c>
      <c r="I177" s="40" t="s">
        <v>22</v>
      </c>
      <c r="J177" s="43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43"/>
    </row>
    <row r="178" spans="1:21" x14ac:dyDescent="0.25">
      <c r="A178" s="29">
        <v>9</v>
      </c>
      <c r="B178" s="26"/>
      <c r="C178" s="45" t="s">
        <v>98</v>
      </c>
      <c r="D178" s="26"/>
      <c r="E178" s="30">
        <v>1</v>
      </c>
      <c r="F178" s="26" t="s">
        <v>96</v>
      </c>
      <c r="G178" s="31">
        <v>100000</v>
      </c>
      <c r="H178" s="31">
        <v>100000</v>
      </c>
      <c r="I178" s="44"/>
      <c r="J178" s="44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44"/>
    </row>
    <row r="179" spans="1:21" ht="30" x14ac:dyDescent="0.25">
      <c r="A179" s="53">
        <v>10</v>
      </c>
      <c r="B179" s="40" t="s">
        <v>19</v>
      </c>
      <c r="C179" s="39" t="s">
        <v>27</v>
      </c>
      <c r="D179" s="40" t="s">
        <v>25</v>
      </c>
      <c r="E179" s="40"/>
      <c r="F179" s="40"/>
      <c r="G179" s="41"/>
      <c r="H179" s="42">
        <v>639999.96</v>
      </c>
      <c r="I179" s="40" t="s">
        <v>22</v>
      </c>
      <c r="J179" s="43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43"/>
    </row>
    <row r="180" spans="1:21" x14ac:dyDescent="0.25">
      <c r="A180" s="29">
        <v>11</v>
      </c>
      <c r="B180" s="26"/>
      <c r="C180" s="45" t="s">
        <v>20</v>
      </c>
      <c r="D180" s="26"/>
      <c r="E180" s="30">
        <v>12</v>
      </c>
      <c r="F180" s="26" t="s">
        <v>96</v>
      </c>
      <c r="G180" s="31">
        <v>53333.33</v>
      </c>
      <c r="H180" s="31">
        <v>639999.96</v>
      </c>
      <c r="I180" s="44"/>
      <c r="J180" s="44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44"/>
    </row>
    <row r="181" spans="1:21" ht="30" x14ac:dyDescent="0.25">
      <c r="A181" s="53">
        <v>12</v>
      </c>
      <c r="B181" s="40" t="s">
        <v>19</v>
      </c>
      <c r="C181" s="39" t="s">
        <v>33</v>
      </c>
      <c r="D181" s="40" t="s">
        <v>25</v>
      </c>
      <c r="E181" s="40"/>
      <c r="F181" s="40"/>
      <c r="G181" s="41"/>
      <c r="H181" s="42">
        <v>186000</v>
      </c>
      <c r="I181" s="40" t="s">
        <v>22</v>
      </c>
      <c r="J181" s="43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43"/>
    </row>
    <row r="182" spans="1:21" x14ac:dyDescent="0.25">
      <c r="A182" s="29">
        <v>13</v>
      </c>
      <c r="B182" s="26"/>
      <c r="C182" s="45" t="s">
        <v>20</v>
      </c>
      <c r="D182" s="26"/>
      <c r="E182" s="30">
        <v>1</v>
      </c>
      <c r="F182" s="26" t="s">
        <v>96</v>
      </c>
      <c r="G182" s="31">
        <v>186000</v>
      </c>
      <c r="H182" s="31">
        <v>186000</v>
      </c>
      <c r="I182" s="44"/>
      <c r="J182" s="44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44"/>
    </row>
    <row r="183" spans="1:21" ht="30" x14ac:dyDescent="0.25">
      <c r="A183" s="53">
        <v>14</v>
      </c>
      <c r="B183" s="40" t="s">
        <v>19</v>
      </c>
      <c r="C183" s="39" t="s">
        <v>32</v>
      </c>
      <c r="D183" s="40" t="s">
        <v>25</v>
      </c>
      <c r="E183" s="40"/>
      <c r="F183" s="40"/>
      <c r="G183" s="41"/>
      <c r="H183" s="42">
        <v>440000</v>
      </c>
      <c r="I183" s="40" t="s">
        <v>22</v>
      </c>
      <c r="J183" s="43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43"/>
    </row>
    <row r="184" spans="1:21" x14ac:dyDescent="0.25">
      <c r="A184" s="29">
        <v>15</v>
      </c>
      <c r="B184" s="26"/>
      <c r="C184" s="45" t="s">
        <v>99</v>
      </c>
      <c r="D184" s="26"/>
      <c r="E184" s="30">
        <v>4</v>
      </c>
      <c r="F184" s="26" t="s">
        <v>84</v>
      </c>
      <c r="G184" s="31">
        <v>110000</v>
      </c>
      <c r="H184" s="31">
        <v>440000</v>
      </c>
      <c r="I184" s="44"/>
      <c r="J184" s="44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44"/>
    </row>
    <row r="185" spans="1:21" ht="30" x14ac:dyDescent="0.25">
      <c r="A185" s="53">
        <v>16</v>
      </c>
      <c r="B185" s="40" t="s">
        <v>19</v>
      </c>
      <c r="C185" s="39" t="s">
        <v>36</v>
      </c>
      <c r="D185" s="40" t="s">
        <v>25</v>
      </c>
      <c r="E185" s="40"/>
      <c r="F185" s="40"/>
      <c r="G185" s="41"/>
      <c r="H185" s="42">
        <v>445530</v>
      </c>
      <c r="I185" s="40" t="s">
        <v>22</v>
      </c>
      <c r="J185" s="43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43"/>
    </row>
    <row r="186" spans="1:21" x14ac:dyDescent="0.25">
      <c r="A186" s="29">
        <v>17</v>
      </c>
      <c r="B186" s="26"/>
      <c r="C186" s="45" t="s">
        <v>99</v>
      </c>
      <c r="D186" s="26"/>
      <c r="E186" s="30">
        <v>2</v>
      </c>
      <c r="F186" s="26" t="s">
        <v>84</v>
      </c>
      <c r="G186" s="31">
        <v>222765</v>
      </c>
      <c r="H186" s="31">
        <v>445530</v>
      </c>
      <c r="I186" s="44"/>
      <c r="J186" s="44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44"/>
    </row>
    <row r="187" spans="1:21" ht="30" x14ac:dyDescent="0.25">
      <c r="A187" s="53">
        <v>18</v>
      </c>
      <c r="B187" s="40" t="s">
        <v>19</v>
      </c>
      <c r="C187" s="39" t="s">
        <v>24</v>
      </c>
      <c r="D187" s="40" t="s">
        <v>25</v>
      </c>
      <c r="E187" s="40"/>
      <c r="F187" s="40"/>
      <c r="G187" s="41"/>
      <c r="H187" s="42">
        <v>259000</v>
      </c>
      <c r="I187" s="40" t="s">
        <v>22</v>
      </c>
      <c r="J187" s="43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43"/>
    </row>
    <row r="188" spans="1:21" x14ac:dyDescent="0.25">
      <c r="A188" s="29">
        <v>19</v>
      </c>
      <c r="B188" s="26"/>
      <c r="C188" s="45" t="s">
        <v>20</v>
      </c>
      <c r="D188" s="26"/>
      <c r="E188" s="30">
        <v>4</v>
      </c>
      <c r="F188" s="26" t="s">
        <v>96</v>
      </c>
      <c r="G188" s="31">
        <v>64750</v>
      </c>
      <c r="H188" s="31">
        <v>259000</v>
      </c>
      <c r="I188" s="44"/>
      <c r="J188" s="44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44"/>
    </row>
    <row r="189" spans="1:21" ht="30" x14ac:dyDescent="0.25">
      <c r="A189" s="53">
        <v>20</v>
      </c>
      <c r="B189" s="40" t="s">
        <v>19</v>
      </c>
      <c r="C189" s="39" t="s">
        <v>29</v>
      </c>
      <c r="D189" s="40" t="s">
        <v>25</v>
      </c>
      <c r="E189" s="40"/>
      <c r="F189" s="40"/>
      <c r="G189" s="41"/>
      <c r="H189" s="42">
        <v>457500</v>
      </c>
      <c r="I189" s="40" t="s">
        <v>22</v>
      </c>
      <c r="J189" s="43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43"/>
    </row>
    <row r="190" spans="1:21" x14ac:dyDescent="0.25">
      <c r="A190" s="29">
        <v>21</v>
      </c>
      <c r="B190" s="26"/>
      <c r="C190" s="45" t="s">
        <v>20</v>
      </c>
      <c r="D190" s="26"/>
      <c r="E190" s="30">
        <v>2</v>
      </c>
      <c r="F190" s="26" t="s">
        <v>96</v>
      </c>
      <c r="G190" s="31">
        <v>228750</v>
      </c>
      <c r="H190" s="31">
        <v>457500</v>
      </c>
      <c r="I190" s="44"/>
      <c r="J190" s="44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44"/>
    </row>
    <row r="191" spans="1:21" ht="30" x14ac:dyDescent="0.25">
      <c r="A191" s="53">
        <v>22</v>
      </c>
      <c r="B191" s="40" t="s">
        <v>19</v>
      </c>
      <c r="C191" s="39" t="s">
        <v>35</v>
      </c>
      <c r="D191" s="40" t="s">
        <v>25</v>
      </c>
      <c r="E191" s="40"/>
      <c r="F191" s="40"/>
      <c r="G191" s="41"/>
      <c r="H191" s="42">
        <v>78000</v>
      </c>
      <c r="I191" s="40" t="s">
        <v>22</v>
      </c>
      <c r="J191" s="43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43"/>
    </row>
    <row r="192" spans="1:21" x14ac:dyDescent="0.25">
      <c r="A192" s="29">
        <v>23</v>
      </c>
      <c r="B192" s="26"/>
      <c r="C192" s="45" t="s">
        <v>20</v>
      </c>
      <c r="D192" s="26"/>
      <c r="E192" s="30">
        <v>3</v>
      </c>
      <c r="F192" s="26" t="s">
        <v>96</v>
      </c>
      <c r="G192" s="31">
        <v>26000</v>
      </c>
      <c r="H192" s="31">
        <v>78000</v>
      </c>
      <c r="I192" s="44"/>
      <c r="J192" s="44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44"/>
    </row>
    <row r="193" spans="1:21" ht="30" x14ac:dyDescent="0.25">
      <c r="A193" s="53">
        <v>24</v>
      </c>
      <c r="B193" s="40" t="s">
        <v>19</v>
      </c>
      <c r="C193" s="39" t="s">
        <v>30</v>
      </c>
      <c r="D193" s="40" t="s">
        <v>25</v>
      </c>
      <c r="E193" s="40"/>
      <c r="F193" s="40"/>
      <c r="G193" s="41"/>
      <c r="H193" s="42">
        <v>226700</v>
      </c>
      <c r="I193" s="40" t="s">
        <v>22</v>
      </c>
      <c r="J193" s="43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43"/>
    </row>
    <row r="194" spans="1:21" x14ac:dyDescent="0.25">
      <c r="A194" s="29">
        <v>25</v>
      </c>
      <c r="B194" s="26"/>
      <c r="C194" s="45" t="s">
        <v>20</v>
      </c>
      <c r="D194" s="26"/>
      <c r="E194" s="30">
        <v>1</v>
      </c>
      <c r="F194" s="26" t="s">
        <v>96</v>
      </c>
      <c r="G194" s="31">
        <v>226700</v>
      </c>
      <c r="H194" s="31">
        <v>226700</v>
      </c>
      <c r="I194" s="44"/>
      <c r="J194" s="44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44"/>
    </row>
    <row r="195" spans="1:21" ht="30" x14ac:dyDescent="0.25">
      <c r="A195" s="53">
        <v>26</v>
      </c>
      <c r="B195" s="40" t="s">
        <v>19</v>
      </c>
      <c r="C195" s="39" t="s">
        <v>38</v>
      </c>
      <c r="D195" s="40" t="s">
        <v>25</v>
      </c>
      <c r="E195" s="40"/>
      <c r="F195" s="40"/>
      <c r="G195" s="41"/>
      <c r="H195" s="42">
        <v>4000000</v>
      </c>
      <c r="I195" s="40" t="s">
        <v>22</v>
      </c>
      <c r="J195" s="43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43"/>
    </row>
    <row r="196" spans="1:21" x14ac:dyDescent="0.25">
      <c r="A196" s="29">
        <v>27</v>
      </c>
      <c r="B196" s="26"/>
      <c r="C196" s="45" t="s">
        <v>20</v>
      </c>
      <c r="D196" s="26"/>
      <c r="E196" s="30">
        <v>4</v>
      </c>
      <c r="F196" s="26" t="s">
        <v>96</v>
      </c>
      <c r="G196" s="31">
        <v>1000000</v>
      </c>
      <c r="H196" s="31">
        <v>4000000</v>
      </c>
      <c r="I196" s="44"/>
      <c r="J196" s="44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44"/>
    </row>
    <row r="197" spans="1:21" ht="30" x14ac:dyDescent="0.25">
      <c r="A197" s="53">
        <v>26</v>
      </c>
      <c r="B197" s="40" t="s">
        <v>19</v>
      </c>
      <c r="C197" s="39" t="s">
        <v>100</v>
      </c>
      <c r="D197" s="40" t="s">
        <v>25</v>
      </c>
      <c r="E197" s="40"/>
      <c r="F197" s="40"/>
      <c r="G197" s="41"/>
      <c r="H197" s="42">
        <f>H198</f>
        <v>108000</v>
      </c>
      <c r="I197" s="40" t="s">
        <v>22</v>
      </c>
      <c r="J197" s="43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43"/>
    </row>
    <row r="198" spans="1:21" x14ac:dyDescent="0.25">
      <c r="A198" s="29">
        <v>509</v>
      </c>
      <c r="B198" s="26"/>
      <c r="C198" s="45" t="s">
        <v>20</v>
      </c>
      <c r="D198" s="26"/>
      <c r="E198" s="30">
        <v>3</v>
      </c>
      <c r="F198" s="26" t="s">
        <v>84</v>
      </c>
      <c r="G198" s="31">
        <v>36000</v>
      </c>
      <c r="H198" s="31">
        <f>G198*E198</f>
        <v>108000</v>
      </c>
      <c r="I198" s="44"/>
      <c r="J198" s="44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44"/>
    </row>
    <row r="201" spans="1:21" ht="30" x14ac:dyDescent="0.25">
      <c r="A201" s="28">
        <v>2402</v>
      </c>
      <c r="B201" s="36" t="s">
        <v>42</v>
      </c>
      <c r="C201" s="35" t="s">
        <v>43</v>
      </c>
      <c r="D201" s="36" t="s">
        <v>21</v>
      </c>
      <c r="E201" s="36"/>
      <c r="F201" s="36"/>
      <c r="G201" s="37"/>
      <c r="H201" s="38">
        <f>H202</f>
        <v>10000998.039999999</v>
      </c>
      <c r="I201" s="36" t="s">
        <v>39</v>
      </c>
      <c r="J201" s="46">
        <f>SUM(J202:J212)</f>
        <v>4</v>
      </c>
      <c r="K201" s="209">
        <f t="shared" ref="K201:U201" si="14">SUM(K202:K212)</f>
        <v>0</v>
      </c>
      <c r="L201" s="209">
        <f t="shared" si="14"/>
        <v>0</v>
      </c>
      <c r="M201" s="209">
        <f t="shared" si="14"/>
        <v>4</v>
      </c>
      <c r="N201" s="209">
        <f t="shared" si="14"/>
        <v>0</v>
      </c>
      <c r="O201" s="209">
        <f t="shared" si="14"/>
        <v>0</v>
      </c>
      <c r="P201" s="209">
        <f t="shared" si="14"/>
        <v>4</v>
      </c>
      <c r="Q201" s="209">
        <f t="shared" si="14"/>
        <v>0</v>
      </c>
      <c r="R201" s="209">
        <f t="shared" si="14"/>
        <v>0</v>
      </c>
      <c r="S201" s="209">
        <f t="shared" si="14"/>
        <v>4</v>
      </c>
      <c r="T201" s="209">
        <f t="shared" si="14"/>
        <v>0</v>
      </c>
      <c r="U201" s="46">
        <f t="shared" si="14"/>
        <v>0</v>
      </c>
    </row>
    <row r="202" spans="1:21" ht="30" x14ac:dyDescent="0.25">
      <c r="A202" s="28">
        <v>2403</v>
      </c>
      <c r="B202" s="40" t="s">
        <v>42</v>
      </c>
      <c r="C202" s="39" t="s">
        <v>44</v>
      </c>
      <c r="D202" s="40" t="s">
        <v>25</v>
      </c>
      <c r="E202" s="40"/>
      <c r="F202" s="40"/>
      <c r="G202" s="41"/>
      <c r="H202" s="42">
        <v>10000998.039999999</v>
      </c>
      <c r="I202" s="40" t="s">
        <v>39</v>
      </c>
      <c r="J202" s="43">
        <v>4</v>
      </c>
      <c r="K202" s="210"/>
      <c r="L202" s="210"/>
      <c r="M202" s="210">
        <v>4</v>
      </c>
      <c r="N202" s="210"/>
      <c r="O202" s="210"/>
      <c r="P202" s="210">
        <v>4</v>
      </c>
      <c r="Q202" s="210"/>
      <c r="R202" s="210"/>
      <c r="S202" s="210">
        <v>4</v>
      </c>
      <c r="T202" s="210"/>
      <c r="U202" s="43"/>
    </row>
    <row r="203" spans="1:21" x14ac:dyDescent="0.25">
      <c r="A203" s="28">
        <v>2404</v>
      </c>
      <c r="B203" s="26"/>
      <c r="C203" s="45" t="s">
        <v>44</v>
      </c>
      <c r="D203" s="26"/>
      <c r="E203" s="30"/>
      <c r="F203" s="26"/>
      <c r="G203" s="31"/>
      <c r="H203" s="31">
        <f>SUM(H204:H212)</f>
        <v>10000998.039999999</v>
      </c>
      <c r="I203" s="44"/>
      <c r="J203" s="44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44"/>
    </row>
    <row r="204" spans="1:21" s="48" customFormat="1" x14ac:dyDescent="0.25">
      <c r="A204" s="28">
        <v>2405</v>
      </c>
      <c r="B204" s="26"/>
      <c r="C204" s="45" t="s">
        <v>85</v>
      </c>
      <c r="D204" s="26"/>
      <c r="E204" s="26">
        <v>80</v>
      </c>
      <c r="F204" s="26" t="s">
        <v>81</v>
      </c>
      <c r="G204" s="47">
        <v>11250</v>
      </c>
      <c r="H204" s="47">
        <f>E204*G204</f>
        <v>900000</v>
      </c>
      <c r="I204" s="26"/>
      <c r="J204" s="26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6"/>
    </row>
    <row r="205" spans="1:21" s="48" customFormat="1" x14ac:dyDescent="0.25">
      <c r="A205" s="28">
        <v>2406</v>
      </c>
      <c r="B205" s="26"/>
      <c r="C205" s="45" t="s">
        <v>86</v>
      </c>
      <c r="D205" s="26"/>
      <c r="E205" s="26">
        <v>85</v>
      </c>
      <c r="F205" s="26" t="s">
        <v>81</v>
      </c>
      <c r="G205" s="47">
        <v>7527.25</v>
      </c>
      <c r="H205" s="47">
        <f t="shared" ref="H205:H211" si="15">E205*G205</f>
        <v>639816.25</v>
      </c>
      <c r="I205" s="52"/>
      <c r="J205" s="26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6"/>
    </row>
    <row r="206" spans="1:21" s="48" customFormat="1" x14ac:dyDescent="0.25">
      <c r="A206" s="28">
        <v>2407</v>
      </c>
      <c r="B206" s="26"/>
      <c r="C206" s="45" t="s">
        <v>87</v>
      </c>
      <c r="D206" s="26"/>
      <c r="E206" s="26">
        <v>95</v>
      </c>
      <c r="F206" s="26" t="s">
        <v>81</v>
      </c>
      <c r="G206" s="47">
        <v>5253.75</v>
      </c>
      <c r="H206" s="47">
        <f t="shared" si="15"/>
        <v>499106.25</v>
      </c>
      <c r="I206" s="26"/>
      <c r="J206" s="26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6"/>
    </row>
    <row r="207" spans="1:21" s="48" customFormat="1" x14ac:dyDescent="0.25">
      <c r="A207" s="28">
        <v>2408</v>
      </c>
      <c r="B207" s="26"/>
      <c r="C207" s="45" t="s">
        <v>88</v>
      </c>
      <c r="D207" s="26"/>
      <c r="E207" s="26">
        <v>100</v>
      </c>
      <c r="F207" s="26" t="s">
        <v>81</v>
      </c>
      <c r="G207" s="47">
        <v>3375</v>
      </c>
      <c r="H207" s="47">
        <f t="shared" si="15"/>
        <v>337500</v>
      </c>
      <c r="I207" s="26"/>
      <c r="J207" s="26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6"/>
    </row>
    <row r="208" spans="1:21" s="48" customFormat="1" x14ac:dyDescent="0.25">
      <c r="A208" s="28">
        <v>2409</v>
      </c>
      <c r="B208" s="26"/>
      <c r="C208" s="45" t="s">
        <v>89</v>
      </c>
      <c r="D208" s="26"/>
      <c r="E208" s="26">
        <v>60</v>
      </c>
      <c r="F208" s="26" t="s">
        <v>81</v>
      </c>
      <c r="G208" s="47">
        <v>22500</v>
      </c>
      <c r="H208" s="47">
        <f t="shared" si="15"/>
        <v>1350000</v>
      </c>
      <c r="I208" s="26"/>
      <c r="J208" s="26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6"/>
    </row>
    <row r="209" spans="1:21" s="48" customFormat="1" x14ac:dyDescent="0.25">
      <c r="A209" s="28">
        <v>2410</v>
      </c>
      <c r="B209" s="26"/>
      <c r="C209" s="45" t="s">
        <v>90</v>
      </c>
      <c r="D209" s="26"/>
      <c r="E209" s="26">
        <v>50</v>
      </c>
      <c r="F209" s="26" t="s">
        <v>81</v>
      </c>
      <c r="G209" s="47">
        <v>60000</v>
      </c>
      <c r="H209" s="47">
        <f t="shared" si="15"/>
        <v>3000000</v>
      </c>
      <c r="I209" s="26"/>
      <c r="J209" s="26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6"/>
    </row>
    <row r="210" spans="1:21" s="48" customFormat="1" x14ac:dyDescent="0.25">
      <c r="A210" s="28">
        <v>2411</v>
      </c>
      <c r="B210" s="26"/>
      <c r="C210" s="45" t="s">
        <v>91</v>
      </c>
      <c r="D210" s="26"/>
      <c r="E210" s="26">
        <v>60</v>
      </c>
      <c r="F210" s="26" t="s">
        <v>81</v>
      </c>
      <c r="G210" s="47">
        <v>52500</v>
      </c>
      <c r="H210" s="47">
        <f t="shared" si="15"/>
        <v>3150000</v>
      </c>
      <c r="I210" s="26"/>
      <c r="J210" s="26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6"/>
    </row>
    <row r="211" spans="1:21" s="48" customFormat="1" x14ac:dyDescent="0.25">
      <c r="A211" s="28">
        <v>2412</v>
      </c>
      <c r="B211" s="26"/>
      <c r="C211" s="45" t="s">
        <v>92</v>
      </c>
      <c r="D211" s="26"/>
      <c r="E211" s="26">
        <v>80</v>
      </c>
      <c r="F211" s="26" t="s">
        <v>81</v>
      </c>
      <c r="G211" s="47">
        <v>1557.19425</v>
      </c>
      <c r="H211" s="47">
        <f t="shared" si="15"/>
        <v>124575.54000000001</v>
      </c>
      <c r="I211" s="26"/>
      <c r="J211" s="26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6"/>
    </row>
    <row r="212" spans="1:21" x14ac:dyDescent="0.25">
      <c r="A212" s="28">
        <v>2413</v>
      </c>
      <c r="B212" s="26"/>
      <c r="C212" s="45"/>
      <c r="D212" s="26"/>
      <c r="E212" s="30"/>
      <c r="F212" s="26"/>
      <c r="G212" s="31"/>
      <c r="H212" s="31"/>
      <c r="I212" s="44"/>
      <c r="J212" s="44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44"/>
    </row>
    <row r="213" spans="1:21" x14ac:dyDescent="0.25">
      <c r="J213" s="25"/>
    </row>
    <row r="215" spans="1:21" ht="30" x14ac:dyDescent="0.25">
      <c r="B215" s="122">
        <v>10483029.780000001</v>
      </c>
      <c r="C215" s="114">
        <v>10483029.780000001</v>
      </c>
      <c r="E215" s="115">
        <f>B215-C215</f>
        <v>0</v>
      </c>
      <c r="F215" s="116" t="e">
        <f>C215-H215</f>
        <v>#REF!</v>
      </c>
      <c r="H215" s="55" t="e">
        <f>#REF!+#REF!</f>
        <v>#REF!</v>
      </c>
      <c r="I215" s="40" t="s">
        <v>40</v>
      </c>
      <c r="J215" s="56" t="e">
        <f>#REF!+#REF!</f>
        <v>#REF!</v>
      </c>
      <c r="K215" s="206" t="e">
        <f>#REF!+#REF!</f>
        <v>#REF!</v>
      </c>
      <c r="L215" s="206" t="e">
        <f>#REF!+#REF!</f>
        <v>#REF!</v>
      </c>
      <c r="M215" s="206" t="e">
        <f>#REF!+#REF!</f>
        <v>#REF!</v>
      </c>
      <c r="N215" s="206" t="e">
        <f>#REF!+#REF!</f>
        <v>#REF!</v>
      </c>
      <c r="O215" s="206" t="e">
        <f>#REF!+#REF!</f>
        <v>#REF!</v>
      </c>
      <c r="P215" s="206" t="e">
        <f>#REF!+#REF!</f>
        <v>#REF!</v>
      </c>
      <c r="Q215" s="206" t="e">
        <f>#REF!+#REF!</f>
        <v>#REF!</v>
      </c>
      <c r="R215" s="206" t="e">
        <f>#REF!+#REF!</f>
        <v>#REF!</v>
      </c>
      <c r="S215" s="206" t="e">
        <f>#REF!+#REF!</f>
        <v>#REF!</v>
      </c>
      <c r="T215" s="206" t="e">
        <f>#REF!+#REF!</f>
        <v>#REF!</v>
      </c>
      <c r="U215" s="56" t="e">
        <f>#REF!+#REF!</f>
        <v>#REF!</v>
      </c>
    </row>
    <row r="216" spans="1:21" ht="30" x14ac:dyDescent="0.25">
      <c r="B216" s="122">
        <v>32472000</v>
      </c>
      <c r="C216" s="114">
        <v>32472000</v>
      </c>
      <c r="E216" s="115">
        <f t="shared" ref="E216:E217" si="16">B216-C216</f>
        <v>0</v>
      </c>
      <c r="F216" s="116" t="e">
        <f t="shared" ref="F216:F217" si="17">C216-H216</f>
        <v>#REF!</v>
      </c>
      <c r="H216" s="55" t="e">
        <f>#REF!+#REF!</f>
        <v>#REF!</v>
      </c>
      <c r="I216" s="40" t="s">
        <v>41</v>
      </c>
      <c r="J216" s="56" t="e">
        <f>#REF!+#REF!</f>
        <v>#REF!</v>
      </c>
      <c r="K216" s="206" t="e">
        <f>#REF!+#REF!</f>
        <v>#REF!</v>
      </c>
      <c r="L216" s="206" t="e">
        <f>#REF!+#REF!</f>
        <v>#REF!</v>
      </c>
      <c r="M216" s="206" t="e">
        <f>#REF!+#REF!</f>
        <v>#REF!</v>
      </c>
      <c r="N216" s="206" t="e">
        <f>#REF!+#REF!</f>
        <v>#REF!</v>
      </c>
      <c r="O216" s="206" t="e">
        <f>#REF!+#REF!</f>
        <v>#REF!</v>
      </c>
      <c r="P216" s="206" t="e">
        <f>#REF!+#REF!</f>
        <v>#REF!</v>
      </c>
      <c r="Q216" s="206" t="e">
        <f>#REF!+#REF!</f>
        <v>#REF!</v>
      </c>
      <c r="R216" s="206" t="e">
        <f>#REF!+#REF!</f>
        <v>#REF!</v>
      </c>
      <c r="S216" s="206" t="e">
        <f>#REF!+#REF!</f>
        <v>#REF!</v>
      </c>
      <c r="T216" s="206" t="e">
        <f>#REF!+#REF!</f>
        <v>#REF!</v>
      </c>
      <c r="U216" s="56" t="e">
        <f>#REF!+#REF!</f>
        <v>#REF!</v>
      </c>
    </row>
    <row r="217" spans="1:21" ht="30" x14ac:dyDescent="0.25">
      <c r="B217" s="122">
        <v>185977570.25999999</v>
      </c>
      <c r="C217" s="114">
        <v>185977570.25999999</v>
      </c>
      <c r="E217" s="115">
        <f t="shared" si="16"/>
        <v>0</v>
      </c>
      <c r="F217" s="116" t="e">
        <f t="shared" si="17"/>
        <v>#REF!</v>
      </c>
      <c r="H217" s="55" t="e">
        <f>#REF!+#REF!+#REF!+#REF!+#REF!+#REF!+#REF!+#REF!+#REF!+#REF!+#REF!+#REF!+#REF!+#REF!+#REF!+#REF!+#REF!+#REF!</f>
        <v>#REF!</v>
      </c>
      <c r="I217" s="40" t="s">
        <v>39</v>
      </c>
      <c r="J217" s="56" t="e">
        <f>#REF!+#REF!+#REF!+#REF!+#REF!+#REF!+#REF!+#REF!+#REF!+#REF!+#REF!+#REF!+#REF!+#REF!+#REF!+#REF!+#REF!+#REF!</f>
        <v>#REF!</v>
      </c>
      <c r="K217" s="206" t="e">
        <f>#REF!+#REF!+#REF!+#REF!+#REF!+#REF!+#REF!+#REF!+#REF!+#REF!+#REF!+#REF!+#REF!+#REF!+#REF!+#REF!+#REF!+#REF!</f>
        <v>#REF!</v>
      </c>
      <c r="L217" s="206" t="e">
        <f>#REF!+#REF!+#REF!+#REF!+#REF!+#REF!+#REF!+#REF!+#REF!+#REF!+#REF!+#REF!+#REF!+#REF!+#REF!+#REF!+#REF!</f>
        <v>#REF!</v>
      </c>
      <c r="M217" s="206" t="e">
        <f>#REF!+#REF!+#REF!+#REF!+#REF!+#REF!+#REF!+#REF!+#REF!+#REF!+#REF!+#REF!+#REF!+#REF!+#REF!+#REF!+#REF!</f>
        <v>#REF!</v>
      </c>
      <c r="N217" s="206" t="e">
        <f>#REF!+#REF!+#REF!+#REF!+#REF!+#REF!+#REF!+#REF!+#REF!+#REF!+#REF!+#REF!+#REF!+#REF!+#REF!+#REF!+#REF!</f>
        <v>#REF!</v>
      </c>
      <c r="O217" s="206" t="e">
        <f>#REF!+#REF!+#REF!+#REF!+#REF!+#REF!+#REF!+#REF!+#REF!+#REF!+#REF!+#REF!+#REF!+#REF!+#REF!+#REF!+#REF!</f>
        <v>#REF!</v>
      </c>
      <c r="P217" s="206" t="e">
        <f>#REF!+#REF!+#REF!+#REF!+#REF!+#REF!+#REF!+#REF!+#REF!+#REF!+#REF!+#REF!+#REF!+#REF!+#REF!+#REF!+#REF!</f>
        <v>#REF!</v>
      </c>
      <c r="Q217" s="206" t="e">
        <f>#REF!+#REF!+#REF!+#REF!+#REF!+#REF!+#REF!+#REF!+#REF!+#REF!+#REF!+#REF!+#REF!+#REF!+#REF!+#REF!+#REF!+#REF!</f>
        <v>#REF!</v>
      </c>
      <c r="R217" s="206" t="e">
        <f>#REF!+#REF!+#REF!+#REF!+#REF!+#REF!+#REF!+#REF!+#REF!+#REF!+#REF!+#REF!+#REF!+#REF!+#REF!+#REF!+#REF!</f>
        <v>#REF!</v>
      </c>
      <c r="S217" s="206" t="e">
        <f>#REF!+#REF!+#REF!+#REF!+#REF!+#REF!+#REF!+#REF!+#REF!+#REF!+#REF!+#REF!+#REF!+#REF!+#REF!+#REF!+#REF!</f>
        <v>#REF!</v>
      </c>
      <c r="T217" s="206" t="e">
        <f>#REF!+#REF!+#REF!+#REF!+#REF!+#REF!+#REF!+#REF!+#REF!+#REF!+#REF!+#REF!+#REF!+#REF!+#REF!+#REF!+#REF!</f>
        <v>#REF!</v>
      </c>
      <c r="U217" s="56" t="e">
        <f>#REF!+#REF!+#REF!+#REF!+#REF!+#REF!+#REF!+#REF!+#REF!+#REF!+#REF!+#REF!+#REF!+#REF!+#REF!+#REF!+#REF!</f>
        <v>#REF!</v>
      </c>
    </row>
    <row r="218" spans="1:21" ht="15" x14ac:dyDescent="0.25">
      <c r="C218" s="117">
        <f>SUM(C215:C217)</f>
        <v>228932600.03999999</v>
      </c>
      <c r="J218" s="51" t="e">
        <f>SUBTOTAL(9,J215:J217)</f>
        <v>#REF!</v>
      </c>
      <c r="K218" s="206" t="e">
        <f t="shared" ref="K218:U218" si="18">SUBTOTAL(9,K215:K217)</f>
        <v>#REF!</v>
      </c>
      <c r="L218" s="206" t="e">
        <f t="shared" si="18"/>
        <v>#REF!</v>
      </c>
      <c r="M218" s="206" t="e">
        <f t="shared" si="18"/>
        <v>#REF!</v>
      </c>
      <c r="N218" s="206" t="e">
        <f t="shared" si="18"/>
        <v>#REF!</v>
      </c>
      <c r="O218" s="206" t="e">
        <f t="shared" si="18"/>
        <v>#REF!</v>
      </c>
      <c r="P218" s="206" t="e">
        <f t="shared" si="18"/>
        <v>#REF!</v>
      </c>
      <c r="Q218" s="206" t="e">
        <f t="shared" si="18"/>
        <v>#REF!</v>
      </c>
      <c r="R218" s="206" t="e">
        <f t="shared" si="18"/>
        <v>#REF!</v>
      </c>
      <c r="S218" s="206" t="e">
        <f t="shared" si="18"/>
        <v>#REF!</v>
      </c>
      <c r="T218" s="206" t="e">
        <f t="shared" si="18"/>
        <v>#REF!</v>
      </c>
      <c r="U218" s="51" t="e">
        <f t="shared" si="18"/>
        <v>#REF!</v>
      </c>
    </row>
    <row r="222" spans="1:21" x14ac:dyDescent="0.25">
      <c r="J222" s="56" t="e">
        <f>#REF!+#REF!+#REF!+#REF!+#REF!+#REF!+#REF!+#REF!+#REF!+#REF!+#REF!+#REF!+#REF!+#REF!+#REF!+#REF!+#REF!+#REF!+#REF!+#REF!+#REF!+#REF!+J14</f>
        <v>#REF!</v>
      </c>
      <c r="K222" s="206" t="e">
        <f>#REF!+#REF!+#REF!+#REF!+#REF!+#REF!+#REF!+#REF!+#REF!+#REF!+#REF!+#REF!+#REF!+#REF!+#REF!+#REF!+#REF!+#REF!+#REF!+#REF!+#REF!+#REF!+K14</f>
        <v>#REF!</v>
      </c>
      <c r="L222" s="206" t="e">
        <f>#REF!+#REF!+#REF!+#REF!+#REF!+#REF!+#REF!+#REF!+#REF!+#REF!+#REF!+#REF!+#REF!+#REF!+#REF!+#REF!+#REF!+#REF!+#REF!+#REF!+#REF!+#REF!+L14</f>
        <v>#REF!</v>
      </c>
      <c r="M222" s="206" t="e">
        <f>#REF!+#REF!+#REF!+#REF!+#REF!+#REF!+#REF!+#REF!+#REF!+#REF!+#REF!+#REF!+#REF!+#REF!+#REF!+#REF!+#REF!+#REF!+#REF!+#REF!+#REF!+#REF!+M14</f>
        <v>#REF!</v>
      </c>
      <c r="N222" s="206" t="e">
        <f>#REF!+#REF!+#REF!+#REF!+#REF!+#REF!+#REF!+#REF!+#REF!+#REF!+#REF!+#REF!+#REF!+#REF!+#REF!+#REF!+#REF!+#REF!+#REF!+#REF!+#REF!+#REF!+N14</f>
        <v>#REF!</v>
      </c>
      <c r="O222" s="206" t="e">
        <f>#REF!+#REF!+#REF!+#REF!+#REF!+#REF!+#REF!+#REF!+#REF!+#REF!+#REF!+#REF!+#REF!+#REF!+#REF!+#REF!+#REF!+#REF!+#REF!+#REF!+#REF!+#REF!+O14</f>
        <v>#REF!</v>
      </c>
      <c r="P222" s="206" t="e">
        <f>#REF!+#REF!+#REF!+#REF!+#REF!+#REF!+#REF!+#REF!+#REF!+#REF!+#REF!+#REF!+#REF!+#REF!+#REF!+#REF!+#REF!+#REF!+#REF!+#REF!+#REF!+#REF!+P14</f>
        <v>#REF!</v>
      </c>
      <c r="Q222" s="206" t="e">
        <f>#REF!+#REF!+#REF!+#REF!+#REF!+#REF!+#REF!+#REF!+#REF!+#REF!+#REF!+#REF!+#REF!+#REF!+#REF!+#REF!+#REF!+#REF!+#REF!+#REF!+#REF!+#REF!+Q14</f>
        <v>#REF!</v>
      </c>
      <c r="R222" s="206" t="e">
        <f>#REF!+#REF!+#REF!+#REF!+#REF!+#REF!+#REF!+#REF!+#REF!+#REF!+#REF!+#REF!+#REF!+#REF!+#REF!+#REF!+#REF!+#REF!+#REF!+#REF!+#REF!+#REF!+R14</f>
        <v>#REF!</v>
      </c>
      <c r="S222" s="206" t="e">
        <f>#REF!+#REF!+#REF!+#REF!+#REF!+#REF!+#REF!+#REF!+#REF!+#REF!+#REF!+#REF!+#REF!+#REF!+#REF!+#REF!+#REF!+#REF!+#REF!+#REF!+#REF!+#REF!+S14</f>
        <v>#REF!</v>
      </c>
      <c r="T222" s="206" t="e">
        <f>#REF!+#REF!+#REF!+#REF!+#REF!+#REF!+#REF!+#REF!+#REF!+#REF!+#REF!+#REF!+#REF!+#REF!+#REF!+#REF!+#REF!+#REF!+#REF!+#REF!+#REF!+#REF!+T14</f>
        <v>#REF!</v>
      </c>
      <c r="U222" s="56" t="e">
        <f>#REF!+#REF!+#REF!+#REF!+#REF!+#REF!+#REF!+#REF!+#REF!+#REF!+#REF!+#REF!+#REF!+#REF!+#REF!+#REF!+#REF!+#REF!+#REF!+#REF!+#REF!+#REF!+U14</f>
        <v>#REF!</v>
      </c>
    </row>
  </sheetData>
  <autoFilter ref="I1:I213" xr:uid="{00000000-0009-0000-0000-000004000000}"/>
  <mergeCells count="19">
    <mergeCell ref="C145:D145"/>
    <mergeCell ref="I145:L145"/>
    <mergeCell ref="A9:U9"/>
    <mergeCell ref="A10:J10"/>
    <mergeCell ref="K10:U10"/>
    <mergeCell ref="E11:G11"/>
    <mergeCell ref="J11:U11"/>
    <mergeCell ref="E12:G12"/>
    <mergeCell ref="A135:K135"/>
    <mergeCell ref="L135:U135"/>
    <mergeCell ref="I139:K139"/>
    <mergeCell ref="I143:L143"/>
    <mergeCell ref="I144:L144"/>
    <mergeCell ref="A8:U8"/>
    <mergeCell ref="A1:U1"/>
    <mergeCell ref="A2:U2"/>
    <mergeCell ref="A3:U3"/>
    <mergeCell ref="A4:U4"/>
    <mergeCell ref="A6:U7"/>
  </mergeCells>
  <pageMargins left="0.23" right="0.12" top="0.33" bottom="0.27" header="0.13" footer="0.12"/>
  <pageSetup paperSize="5" scale="77" orientation="landscape" r:id="rId1"/>
  <rowBreaks count="1" manualBreakCount="1">
    <brk id="171" max="16383" man="1"/>
  </rowBreaks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"/>
  <sheetViews>
    <sheetView workbookViewId="0">
      <selection activeCell="E17" sqref="E17"/>
    </sheetView>
  </sheetViews>
  <sheetFormatPr defaultRowHeight="15" x14ac:dyDescent="0.25"/>
  <cols>
    <col min="1" max="1" width="24.7109375" customWidth="1"/>
  </cols>
  <sheetData>
    <row r="1" spans="1:7" x14ac:dyDescent="0.25">
      <c r="A1" s="50">
        <v>525000</v>
      </c>
    </row>
    <row r="2" spans="1:7" x14ac:dyDescent="0.25">
      <c r="A2" s="50">
        <v>350000</v>
      </c>
    </row>
    <row r="3" spans="1:7" x14ac:dyDescent="0.25">
      <c r="A3" s="50">
        <v>220000</v>
      </c>
    </row>
    <row r="4" spans="1:7" x14ac:dyDescent="0.25">
      <c r="A4" s="50">
        <v>176000</v>
      </c>
    </row>
    <row r="5" spans="1:7" x14ac:dyDescent="0.25">
      <c r="A5" s="50">
        <v>110000</v>
      </c>
    </row>
    <row r="6" spans="1:7" x14ac:dyDescent="0.25">
      <c r="A6">
        <v>525000</v>
      </c>
    </row>
    <row r="7" spans="1:7" x14ac:dyDescent="0.25">
      <c r="A7">
        <v>350000</v>
      </c>
    </row>
    <row r="8" spans="1:7" x14ac:dyDescent="0.25">
      <c r="A8">
        <f>1400000/2</f>
        <v>700000</v>
      </c>
      <c r="G8">
        <f>1400000/2</f>
        <v>700000</v>
      </c>
    </row>
    <row r="9" spans="1:7" x14ac:dyDescent="0.25">
      <c r="A9">
        <v>35000</v>
      </c>
    </row>
    <row r="10" spans="1:7" x14ac:dyDescent="0.25">
      <c r="A10">
        <v>350000</v>
      </c>
    </row>
    <row r="11" spans="1:7" x14ac:dyDescent="0.25">
      <c r="A11">
        <v>176000</v>
      </c>
    </row>
    <row r="12" spans="1:7" x14ac:dyDescent="0.25">
      <c r="A12">
        <v>88000</v>
      </c>
    </row>
    <row r="13" spans="1:7" x14ac:dyDescent="0.25">
      <c r="A13">
        <f>1425000/2</f>
        <v>712500</v>
      </c>
      <c r="G13">
        <f>1425000/2</f>
        <v>712500</v>
      </c>
    </row>
    <row r="14" spans="1:7" x14ac:dyDescent="0.25">
      <c r="A14">
        <v>950000</v>
      </c>
    </row>
    <row r="16" spans="1:7" x14ac:dyDescent="0.25">
      <c r="E16">
        <f>175/35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 Summary</vt:lpstr>
      <vt:lpstr>PPMP</vt:lpstr>
      <vt:lpstr>SPI</vt:lpstr>
      <vt:lpstr>Sheet2</vt:lpstr>
      <vt:lpstr>PPMP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PBBPS</cp:lastModifiedBy>
  <cp:lastPrinted>2023-07-24T00:32:19Z</cp:lastPrinted>
  <dcterms:created xsi:type="dcterms:W3CDTF">2022-11-22T10:05:57Z</dcterms:created>
  <dcterms:modified xsi:type="dcterms:W3CDTF">2023-07-24T00:52:10Z</dcterms:modified>
</cp:coreProperties>
</file>