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2024 Files\APB &amp; APP FY 2024\APP; PPMP &amp; PSI\"/>
    </mc:Choice>
  </mc:AlternateContent>
  <xr:revisionPtr revIDLastSave="0" documentId="8_{A791E787-ADF9-4166-ADE3-D196082DD0D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PP" sheetId="3" r:id="rId1"/>
    <sheet name="PPMP" sheetId="2" r:id="rId2"/>
    <sheet name="SPI" sheetId="4" r:id="rId3"/>
  </sheets>
  <definedNames>
    <definedName name="_xlnm._FilterDatabase" localSheetId="1" hidden="1">PPMP!$F$1:$F$3088</definedName>
  </definedNames>
  <calcPr calcId="191029"/>
</workbook>
</file>

<file path=xl/calcChain.xml><?xml version="1.0" encoding="utf-8"?>
<calcChain xmlns="http://schemas.openxmlformats.org/spreadsheetml/2006/main">
  <c r="R26" i="4" l="1"/>
  <c r="Q26" i="4"/>
  <c r="P26" i="4"/>
  <c r="O26" i="4"/>
  <c r="N26" i="4"/>
  <c r="M26" i="4"/>
  <c r="L26" i="4"/>
  <c r="K26" i="4"/>
  <c r="J26" i="4"/>
  <c r="I26" i="4"/>
  <c r="H26" i="4"/>
  <c r="G26" i="4"/>
  <c r="F26" i="4"/>
  <c r="D26" i="4"/>
  <c r="C26" i="4"/>
  <c r="B26" i="4"/>
  <c r="E21" i="4"/>
  <c r="E26" i="4" s="1"/>
  <c r="P17" i="4"/>
  <c r="O17" i="4"/>
  <c r="N17" i="4"/>
  <c r="L17" i="4"/>
  <c r="K17" i="4"/>
  <c r="J17" i="4"/>
  <c r="H17" i="4"/>
  <c r="G17" i="4"/>
  <c r="F17" i="4"/>
  <c r="D17" i="4"/>
  <c r="C17" i="4"/>
  <c r="B17" i="4"/>
  <c r="Q16" i="4"/>
  <c r="M16" i="4"/>
  <c r="I16" i="4"/>
  <c r="E16" i="4"/>
  <c r="R16" i="4" s="1"/>
  <c r="Q15" i="4"/>
  <c r="M15" i="4"/>
  <c r="I15" i="4"/>
  <c r="E15" i="4"/>
  <c r="Q14" i="4"/>
  <c r="M14" i="4"/>
  <c r="I14" i="4"/>
  <c r="E14" i="4"/>
  <c r="R14" i="4" s="1"/>
  <c r="Q13" i="4"/>
  <c r="M13" i="4"/>
  <c r="I13" i="4"/>
  <c r="E13" i="4"/>
  <c r="Q12" i="4"/>
  <c r="M12" i="4"/>
  <c r="I12" i="4"/>
  <c r="E12" i="4"/>
  <c r="R12" i="4" s="1"/>
  <c r="Q17" i="4" l="1"/>
  <c r="R15" i="4"/>
  <c r="I17" i="4"/>
  <c r="R13" i="4"/>
  <c r="M17" i="4"/>
  <c r="R17" i="4"/>
  <c r="E17" i="4"/>
  <c r="L278" i="3" l="1"/>
  <c r="K278" i="3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23" i="2"/>
  <c r="H3049" i="2" l="1"/>
  <c r="H3023" i="2"/>
  <c r="E2718" i="2"/>
  <c r="H2718" i="2" s="1"/>
  <c r="E2719" i="2"/>
  <c r="H2719" i="2" s="1"/>
  <c r="E2717" i="2"/>
  <c r="H2717" i="2" s="1"/>
  <c r="H1855" i="2"/>
  <c r="H1856" i="2"/>
  <c r="H1858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3" i="2"/>
  <c r="H1874" i="2"/>
  <c r="H1875" i="2"/>
  <c r="H1876" i="2"/>
  <c r="H1877" i="2"/>
  <c r="H1878" i="2"/>
  <c r="H1879" i="2"/>
  <c r="H1854" i="2"/>
  <c r="H1094" i="2"/>
  <c r="H1098" i="2"/>
  <c r="H1100" i="2"/>
  <c r="H1101" i="2"/>
  <c r="E1099" i="2"/>
  <c r="H1099" i="2" s="1"/>
  <c r="E1097" i="2"/>
  <c r="H1097" i="2" s="1"/>
  <c r="E1096" i="2"/>
  <c r="H1096" i="2" s="1"/>
  <c r="E1095" i="2"/>
  <c r="H1095" i="2" s="1"/>
  <c r="E3045" i="2"/>
  <c r="H3045" i="2" s="1"/>
  <c r="E3039" i="2"/>
  <c r="H3039" i="2" s="1"/>
  <c r="E3040" i="2"/>
  <c r="H3040" i="2" s="1"/>
  <c r="E3041" i="2"/>
  <c r="H3041" i="2" s="1"/>
  <c r="E3038" i="2"/>
  <c r="H3038" i="2" s="1"/>
  <c r="E3032" i="2"/>
  <c r="H3032" i="2" s="1"/>
  <c r="E3033" i="2"/>
  <c r="H3033" i="2" s="1"/>
  <c r="E3031" i="2"/>
  <c r="H3031" i="2" s="1"/>
  <c r="E3011" i="2"/>
  <c r="H3011" i="2" s="1"/>
  <c r="E3010" i="2"/>
  <c r="H3010" i="2" s="1"/>
  <c r="E3008" i="2"/>
  <c r="H3008" i="2" s="1"/>
  <c r="E3009" i="2"/>
  <c r="H3009" i="2" s="1"/>
  <c r="E3007" i="2"/>
  <c r="H3007" i="2" s="1"/>
  <c r="E3000" i="2"/>
  <c r="H3000" i="2" s="1"/>
  <c r="E3001" i="2"/>
  <c r="H3001" i="2" s="1"/>
  <c r="E3002" i="2"/>
  <c r="H3002" i="2" s="1"/>
  <c r="E2999" i="2"/>
  <c r="H2999" i="2" s="1"/>
  <c r="E2994" i="2"/>
  <c r="H2994" i="2" s="1"/>
  <c r="E2995" i="2"/>
  <c r="H2995" i="2" s="1"/>
  <c r="E2993" i="2"/>
  <c r="H2993" i="2" s="1"/>
  <c r="E2989" i="2"/>
  <c r="H2989" i="2" s="1"/>
  <c r="E2988" i="2"/>
  <c r="H2988" i="2" s="1"/>
  <c r="E2987" i="2"/>
  <c r="H2987" i="2" s="1"/>
  <c r="E2985" i="2"/>
  <c r="H2985" i="2" s="1"/>
  <c r="E2986" i="2"/>
  <c r="H2986" i="2" s="1"/>
  <c r="E2984" i="2"/>
  <c r="H2984" i="2" s="1"/>
  <c r="E2974" i="2"/>
  <c r="H2974" i="2" s="1"/>
  <c r="E2973" i="2"/>
  <c r="H2973" i="2" s="1"/>
  <c r="E2972" i="2"/>
  <c r="H2972" i="2" s="1"/>
  <c r="E2971" i="2"/>
  <c r="H2971" i="2" s="1"/>
  <c r="E2966" i="2"/>
  <c r="H2966" i="2" s="1"/>
  <c r="E2967" i="2"/>
  <c r="H2967" i="2" s="1"/>
  <c r="E2965" i="2"/>
  <c r="H2965" i="2" s="1"/>
  <c r="E2962" i="2"/>
  <c r="H2962" i="2" s="1"/>
  <c r="E2963" i="2"/>
  <c r="H2963" i="2" s="1"/>
  <c r="E2961" i="2"/>
  <c r="H2961" i="2" s="1"/>
  <c r="E2956" i="2"/>
  <c r="H2956" i="2" s="1"/>
  <c r="E2954" i="2"/>
  <c r="H2954" i="2" s="1"/>
  <c r="E2955" i="2"/>
  <c r="H2955" i="2" s="1"/>
  <c r="E2953" i="2"/>
  <c r="H2953" i="2" s="1"/>
  <c r="H2949" i="2"/>
  <c r="E2947" i="2"/>
  <c r="H2947" i="2" s="1"/>
  <c r="E2948" i="2"/>
  <c r="H2948" i="2" s="1"/>
  <c r="E2946" i="2"/>
  <c r="H2946" i="2" s="1"/>
  <c r="E2944" i="2"/>
  <c r="H2944" i="2" s="1"/>
  <c r="E2945" i="2"/>
  <c r="H2945" i="2" s="1"/>
  <c r="E2943" i="2"/>
  <c r="H2943" i="2" s="1"/>
  <c r="E2942" i="2"/>
  <c r="H2942" i="2" s="1"/>
  <c r="E2941" i="2"/>
  <c r="H2941" i="2" s="1"/>
  <c r="E2940" i="2"/>
  <c r="H2940" i="2" s="1"/>
  <c r="E2936" i="2"/>
  <c r="H2936" i="2" s="1"/>
  <c r="E2935" i="2"/>
  <c r="H2935" i="2" s="1"/>
  <c r="E2934" i="2"/>
  <c r="H2934" i="2" s="1"/>
  <c r="E2929" i="2"/>
  <c r="H2929" i="2" s="1"/>
  <c r="E2930" i="2"/>
  <c r="H2930" i="2" s="1"/>
  <c r="E2928" i="2"/>
  <c r="H2928" i="2" s="1"/>
  <c r="E2924" i="2"/>
  <c r="H2924" i="2" s="1"/>
  <c r="E2923" i="2"/>
  <c r="H2923" i="2" s="1"/>
  <c r="E2920" i="2"/>
  <c r="H2920" i="2" s="1"/>
  <c r="E2921" i="2"/>
  <c r="H2921" i="2" s="1"/>
  <c r="E2919" i="2"/>
  <c r="H2919" i="2" s="1"/>
  <c r="E2915" i="2"/>
  <c r="H2915" i="2" s="1"/>
  <c r="E2913" i="2"/>
  <c r="H2913" i="2" s="1"/>
  <c r="E2914" i="2"/>
  <c r="H2914" i="2" s="1"/>
  <c r="E2912" i="2"/>
  <c r="H2912" i="2" s="1"/>
  <c r="E2891" i="2"/>
  <c r="H2891" i="2" s="1"/>
  <c r="E2892" i="2"/>
  <c r="H2892" i="2" s="1"/>
  <c r="E2893" i="2"/>
  <c r="H2893" i="2" s="1"/>
  <c r="E2894" i="2"/>
  <c r="H2894" i="2" s="1"/>
  <c r="E2890" i="2"/>
  <c r="H2890" i="2" s="1"/>
  <c r="H2878" i="2"/>
  <c r="H2877" i="2"/>
  <c r="E2873" i="2"/>
  <c r="H2873" i="2" s="1"/>
  <c r="E2872" i="2"/>
  <c r="H2872" i="2" s="1"/>
  <c r="E2870" i="2"/>
  <c r="H2870" i="2" s="1"/>
  <c r="E2871" i="2"/>
  <c r="H2871" i="2" s="1"/>
  <c r="E2869" i="2"/>
  <c r="H2869" i="2" s="1"/>
  <c r="E2862" i="2"/>
  <c r="H2862" i="2" s="1"/>
  <c r="E2861" i="2"/>
  <c r="H2861" i="2" s="1"/>
  <c r="E2854" i="2"/>
  <c r="H2854" i="2" s="1"/>
  <c r="E2855" i="2"/>
  <c r="H2855" i="2" s="1"/>
  <c r="E2856" i="2"/>
  <c r="H2856" i="2" s="1"/>
  <c r="E2857" i="2"/>
  <c r="H2857" i="2" s="1"/>
  <c r="E2853" i="2"/>
  <c r="H2853" i="2" s="1"/>
  <c r="E2848" i="2"/>
  <c r="H2848" i="2" s="1"/>
  <c r="E2849" i="2"/>
  <c r="H2849" i="2" s="1"/>
  <c r="E2847" i="2"/>
  <c r="H2847" i="2" s="1"/>
  <c r="E2843" i="2"/>
  <c r="H2843" i="2" s="1"/>
  <c r="E2842" i="2"/>
  <c r="H2842" i="2" s="1"/>
  <c r="E2841" i="2"/>
  <c r="H2841" i="2" s="1"/>
  <c r="E2827" i="2"/>
  <c r="H2827" i="2" s="1"/>
  <c r="E2826" i="2"/>
  <c r="H2826" i="2" s="1"/>
  <c r="E2824" i="2"/>
  <c r="H2824" i="2" s="1"/>
  <c r="E2825" i="2"/>
  <c r="H2825" i="2" s="1"/>
  <c r="E2823" i="2"/>
  <c r="H2823" i="2" s="1"/>
  <c r="E2818" i="2"/>
  <c r="H2818" i="2" s="1"/>
  <c r="E2817" i="2"/>
  <c r="H2817" i="2" s="1"/>
  <c r="E2816" i="2"/>
  <c r="H2816" i="2" s="1"/>
  <c r="E2811" i="2"/>
  <c r="H2811" i="2" s="1"/>
  <c r="E2812" i="2"/>
  <c r="H2812" i="2" s="1"/>
  <c r="E2810" i="2"/>
  <c r="H2810" i="2" s="1"/>
  <c r="E2805" i="2"/>
  <c r="H2805" i="2" s="1"/>
  <c r="E2806" i="2"/>
  <c r="H2806" i="2" s="1"/>
  <c r="E2804" i="2"/>
  <c r="H2804" i="2" s="1"/>
  <c r="E2800" i="2"/>
  <c r="H2800" i="2" s="1"/>
  <c r="E2795" i="2"/>
  <c r="H2795" i="2" s="1"/>
  <c r="E2796" i="2"/>
  <c r="H2796" i="2" s="1"/>
  <c r="E2797" i="2"/>
  <c r="H2797" i="2" s="1"/>
  <c r="E2798" i="2"/>
  <c r="H2798" i="2" s="1"/>
  <c r="E2799" i="2"/>
  <c r="H2799" i="2" s="1"/>
  <c r="E2794" i="2"/>
  <c r="H2794" i="2" s="1"/>
  <c r="H2790" i="2"/>
  <c r="H2789" i="2"/>
  <c r="H2788" i="2"/>
  <c r="H2787" i="2"/>
  <c r="E2785" i="2"/>
  <c r="H2785" i="2" s="1"/>
  <c r="E2786" i="2"/>
  <c r="H2786" i="2" s="1"/>
  <c r="E2784" i="2"/>
  <c r="H2784" i="2" s="1"/>
  <c r="E2783" i="2"/>
  <c r="H2783" i="2" s="1"/>
  <c r="E2782" i="2"/>
  <c r="H2782" i="2" s="1"/>
  <c r="E2780" i="2"/>
  <c r="H2780" i="2" s="1"/>
  <c r="E2779" i="2"/>
  <c r="H2779" i="2" s="1"/>
  <c r="E2778" i="2"/>
  <c r="H2778" i="2" s="1"/>
  <c r="E2777" i="2"/>
  <c r="H2777" i="2" s="1"/>
  <c r="E2775" i="2"/>
  <c r="H2775" i="2" s="1"/>
  <c r="E2776" i="2"/>
  <c r="H2776" i="2" s="1"/>
  <c r="E2774" i="2"/>
  <c r="H2774" i="2" s="1"/>
  <c r="E2773" i="2"/>
  <c r="H2773" i="2" s="1"/>
  <c r="E2772" i="2"/>
  <c r="H2772" i="2" s="1"/>
  <c r="E2768" i="2"/>
  <c r="H2768" i="2" s="1"/>
  <c r="E2767" i="2"/>
  <c r="H2767" i="2" s="1"/>
  <c r="E2763" i="2"/>
  <c r="H2763" i="2" s="1"/>
  <c r="E2764" i="2"/>
  <c r="H2764" i="2" s="1"/>
  <c r="E2765" i="2"/>
  <c r="H2765" i="2" s="1"/>
  <c r="E2762" i="2"/>
  <c r="H2762" i="2" s="1"/>
  <c r="E2756" i="2"/>
  <c r="H2756" i="2" s="1"/>
  <c r="E2755" i="2"/>
  <c r="H2755" i="2" s="1"/>
  <c r="E2754" i="2"/>
  <c r="H2754" i="2" s="1"/>
  <c r="E2749" i="2"/>
  <c r="H2749" i="2" s="1"/>
  <c r="E2750" i="2"/>
  <c r="H2750" i="2" s="1"/>
  <c r="E2748" i="2"/>
  <c r="H2748" i="2" s="1"/>
  <c r="E2745" i="2"/>
  <c r="H2745" i="2" s="1"/>
  <c r="E2746" i="2"/>
  <c r="H2746" i="2" s="1"/>
  <c r="E2744" i="2"/>
  <c r="H2744" i="2" s="1"/>
  <c r="E2741" i="2"/>
  <c r="H2741" i="2" s="1"/>
  <c r="E2742" i="2"/>
  <c r="H2742" i="2" s="1"/>
  <c r="E2740" i="2"/>
  <c r="H2740" i="2" s="1"/>
  <c r="E2737" i="2"/>
  <c r="H2737" i="2" s="1"/>
  <c r="E2738" i="2"/>
  <c r="H2738" i="2" s="1"/>
  <c r="E2736" i="2"/>
  <c r="H2736" i="2" s="1"/>
  <c r="E2730" i="2"/>
  <c r="H2730" i="2" s="1"/>
  <c r="E2731" i="2"/>
  <c r="H2731" i="2" s="1"/>
  <c r="E2729" i="2"/>
  <c r="H2729" i="2" s="1"/>
  <c r="H2725" i="2"/>
  <c r="H2726" i="2"/>
  <c r="H2724" i="2"/>
  <c r="E2707" i="2"/>
  <c r="H2707" i="2" s="1"/>
  <c r="E2708" i="2"/>
  <c r="H2708" i="2" s="1"/>
  <c r="E2706" i="2"/>
  <c r="H2706" i="2" s="1"/>
  <c r="E2709" i="2"/>
  <c r="H2709" i="2" s="1"/>
  <c r="E2705" i="2"/>
  <c r="H2705" i="2" s="1"/>
  <c r="E2699" i="2"/>
  <c r="H2699" i="2" s="1"/>
  <c r="E2700" i="2"/>
  <c r="H2700" i="2" s="1"/>
  <c r="E2701" i="2"/>
  <c r="H2701" i="2" s="1"/>
  <c r="E2698" i="2"/>
  <c r="H2698" i="2" s="1"/>
  <c r="E2686" i="2"/>
  <c r="H2686" i="2" s="1"/>
  <c r="E2685" i="2"/>
  <c r="H2685" i="2" s="1"/>
  <c r="E2683" i="2"/>
  <c r="H2683" i="2" s="1"/>
  <c r="E2682" i="2"/>
  <c r="H2682" i="2" s="1"/>
  <c r="E2680" i="2"/>
  <c r="H2680" i="2" s="1"/>
  <c r="E2679" i="2"/>
  <c r="H2679" i="2" s="1"/>
  <c r="E2673" i="2"/>
  <c r="H2673" i="2" s="1"/>
  <c r="H2665" i="2"/>
  <c r="H2663" i="2"/>
  <c r="H2664" i="2"/>
  <c r="H2662" i="2"/>
  <c r="E2658" i="2"/>
  <c r="H2658" i="2" s="1"/>
  <c r="E2659" i="2"/>
  <c r="H2659" i="2" s="1"/>
  <c r="E2657" i="2"/>
  <c r="H2657" i="2" s="1"/>
  <c r="H2655" i="2"/>
  <c r="H2653" i="2"/>
  <c r="H2654" i="2"/>
  <c r="E2632" i="2"/>
  <c r="H2632" i="2" s="1"/>
  <c r="E2633" i="2"/>
  <c r="H2633" i="2" s="1"/>
  <c r="E2631" i="2"/>
  <c r="H2631" i="2" s="1"/>
  <c r="E2623" i="2"/>
  <c r="H2623" i="2" s="1"/>
  <c r="E2622" i="2"/>
  <c r="H2622" i="2" s="1"/>
  <c r="E2621" i="2"/>
  <c r="H2621" i="2" s="1"/>
  <c r="E2617" i="2"/>
  <c r="H2617" i="2" s="1"/>
  <c r="E2615" i="2"/>
  <c r="H2615" i="2" s="1"/>
  <c r="E2616" i="2"/>
  <c r="H2616" i="2" s="1"/>
  <c r="E2614" i="2"/>
  <c r="H2614" i="2" s="1"/>
  <c r="E2613" i="2"/>
  <c r="H2613" i="2" s="1"/>
  <c r="E2612" i="2"/>
  <c r="H2612" i="2" s="1"/>
  <c r="E2610" i="2"/>
  <c r="H2610" i="2" s="1"/>
  <c r="E2611" i="2"/>
  <c r="H2611" i="2" s="1"/>
  <c r="E2609" i="2"/>
  <c r="H2609" i="2" s="1"/>
  <c r="E2605" i="2"/>
  <c r="H2605" i="2" s="1"/>
  <c r="E2603" i="2"/>
  <c r="H2603" i="2" s="1"/>
  <c r="E2604" i="2"/>
  <c r="H2604" i="2" s="1"/>
  <c r="E2602" i="2"/>
  <c r="H2602" i="2" s="1"/>
  <c r="E2597" i="2"/>
  <c r="H2597" i="2" s="1"/>
  <c r="E2598" i="2"/>
  <c r="H2598" i="2" s="1"/>
  <c r="E2596" i="2"/>
  <c r="H2596" i="2" s="1"/>
  <c r="E2592" i="2"/>
  <c r="H2592" i="2" s="1"/>
  <c r="E2591" i="2"/>
  <c r="H2591" i="2" s="1"/>
  <c r="E2590" i="2"/>
  <c r="H2590" i="2" s="1"/>
  <c r="E2588" i="2"/>
  <c r="H2588" i="2" s="1"/>
  <c r="E2587" i="2"/>
  <c r="H2587" i="2" s="1"/>
  <c r="E2586" i="2"/>
  <c r="H2586" i="2" s="1"/>
  <c r="H2584" i="2"/>
  <c r="H2583" i="2"/>
  <c r="H2582" i="2"/>
  <c r="E2571" i="2"/>
  <c r="H2571" i="2" s="1"/>
  <c r="E2572" i="2"/>
  <c r="H2572" i="2" s="1"/>
  <c r="E2570" i="2"/>
  <c r="H2570" i="2" s="1"/>
  <c r="E2567" i="2"/>
  <c r="H2567" i="2" s="1"/>
  <c r="E2568" i="2"/>
  <c r="H2568" i="2" s="1"/>
  <c r="E2566" i="2"/>
  <c r="H2566" i="2" s="1"/>
  <c r="E2563" i="2"/>
  <c r="H2563" i="2" s="1"/>
  <c r="E2564" i="2"/>
  <c r="H2564" i="2" s="1"/>
  <c r="E2562" i="2"/>
  <c r="H2562" i="2" s="1"/>
  <c r="E2555" i="2"/>
  <c r="H2555" i="2" s="1"/>
  <c r="E2556" i="2"/>
  <c r="H2556" i="2" s="1"/>
  <c r="E2554" i="2"/>
  <c r="H2554" i="2" s="1"/>
  <c r="E2551" i="2"/>
  <c r="H2551" i="2" s="1"/>
  <c r="E2552" i="2"/>
  <c r="H2552" i="2" s="1"/>
  <c r="E2550" i="2"/>
  <c r="H2550" i="2" s="1"/>
  <c r="E2547" i="2"/>
  <c r="H2547" i="2" s="1"/>
  <c r="E2548" i="2"/>
  <c r="H2548" i="2" s="1"/>
  <c r="E2546" i="2"/>
  <c r="H2546" i="2" s="1"/>
  <c r="E2543" i="2"/>
  <c r="H2543" i="2" s="1"/>
  <c r="E2544" i="2"/>
  <c r="H2544" i="2" s="1"/>
  <c r="E2542" i="2"/>
  <c r="H2542" i="2" s="1"/>
  <c r="E2537" i="2"/>
  <c r="H2537" i="2" s="1"/>
  <c r="E2534" i="2"/>
  <c r="H2534" i="2" s="1"/>
  <c r="E2535" i="2"/>
  <c r="H2535" i="2" s="1"/>
  <c r="E2536" i="2"/>
  <c r="H2536" i="2" s="1"/>
  <c r="E2533" i="2"/>
  <c r="H2533" i="2" s="1"/>
  <c r="E2528" i="2"/>
  <c r="H2528" i="2" s="1"/>
  <c r="E2529" i="2"/>
  <c r="H2529" i="2" s="1"/>
  <c r="E2527" i="2"/>
  <c r="H2527" i="2" s="1"/>
  <c r="E2511" i="2"/>
  <c r="H2511" i="2" s="1"/>
  <c r="E2512" i="2"/>
  <c r="H2512" i="2" s="1"/>
  <c r="E2510" i="2"/>
  <c r="H2510" i="2" s="1"/>
  <c r="E2507" i="2"/>
  <c r="H2507" i="2" s="1"/>
  <c r="E2508" i="2"/>
  <c r="H2508" i="2" s="1"/>
  <c r="E2506" i="2"/>
  <c r="H2506" i="2" s="1"/>
  <c r="E2502" i="2"/>
  <c r="H2502" i="2" s="1"/>
  <c r="E2500" i="2"/>
  <c r="H2500" i="2" s="1"/>
  <c r="E2501" i="2"/>
  <c r="H2501" i="2" s="1"/>
  <c r="E2499" i="2"/>
  <c r="H2499" i="2" s="1"/>
  <c r="E2477" i="2"/>
  <c r="H2477" i="2" s="1"/>
  <c r="E2476" i="2"/>
  <c r="H2476" i="2" s="1"/>
  <c r="E2475" i="2"/>
  <c r="H2475" i="2" s="1"/>
  <c r="E2474" i="2"/>
  <c r="H2474" i="2" s="1"/>
  <c r="E2473" i="2"/>
  <c r="H2473" i="2" s="1"/>
  <c r="E2468" i="2"/>
  <c r="H2468" i="2" s="1"/>
  <c r="E2467" i="2"/>
  <c r="H2467" i="2" s="1"/>
  <c r="E2466" i="2"/>
  <c r="H2466" i="2" s="1"/>
  <c r="E2465" i="2"/>
  <c r="H2465" i="2" s="1"/>
  <c r="E2464" i="2"/>
  <c r="H2464" i="2" s="1"/>
  <c r="E2463" i="2"/>
  <c r="H2463" i="2" s="1"/>
  <c r="E2462" i="2"/>
  <c r="H2462" i="2" s="1"/>
  <c r="E2461" i="2"/>
  <c r="H2461" i="2" s="1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4" i="2"/>
  <c r="H2455" i="2"/>
  <c r="H2456" i="2"/>
  <c r="H2457" i="2"/>
  <c r="H2438" i="2"/>
  <c r="E2431" i="2"/>
  <c r="H2431" i="2" s="1"/>
  <c r="E2415" i="2"/>
  <c r="H2415" i="2" s="1"/>
  <c r="E2380" i="2"/>
  <c r="H2380" i="2" s="1"/>
  <c r="H2383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28" i="2"/>
  <c r="E2324" i="2"/>
  <c r="H2324" i="2" s="1"/>
  <c r="E2323" i="2"/>
  <c r="H2323" i="2" s="1"/>
  <c r="E2322" i="2"/>
  <c r="H2322" i="2" s="1"/>
  <c r="E2321" i="2"/>
  <c r="H2321" i="2" s="1"/>
  <c r="E2320" i="2"/>
  <c r="H2320" i="2" s="1"/>
  <c r="E2318" i="2"/>
  <c r="H2318" i="2" s="1"/>
  <c r="E2319" i="2"/>
  <c r="H2319" i="2" s="1"/>
  <c r="E2317" i="2"/>
  <c r="H2317" i="2" s="1"/>
  <c r="E2316" i="2"/>
  <c r="H2316" i="2" s="1"/>
  <c r="E2315" i="2"/>
  <c r="H2315" i="2" s="1"/>
  <c r="E2314" i="2"/>
  <c r="H2314" i="2" s="1"/>
  <c r="E2313" i="2"/>
  <c r="H2313" i="2" s="1"/>
  <c r="E2312" i="2"/>
  <c r="H2312" i="2" s="1"/>
  <c r="E2311" i="2"/>
  <c r="H2311" i="2" s="1"/>
  <c r="E2310" i="2"/>
  <c r="H2310" i="2" s="1"/>
  <c r="E2309" i="2"/>
  <c r="H2309" i="2" s="1"/>
  <c r="E2308" i="2"/>
  <c r="H2308" i="2" s="1"/>
  <c r="E2307" i="2"/>
  <c r="H2307" i="2" s="1"/>
  <c r="E2306" i="2"/>
  <c r="H2306" i="2" s="1"/>
  <c r="H2281" i="2"/>
  <c r="H2250" i="2"/>
  <c r="E2247" i="2"/>
  <c r="H2247" i="2" s="1"/>
  <c r="E2248" i="2"/>
  <c r="H2248" i="2" s="1"/>
  <c r="E2249" i="2"/>
  <c r="H2249" i="2" s="1"/>
  <c r="E2246" i="2"/>
  <c r="H2246" i="2" s="1"/>
  <c r="E2241" i="2"/>
  <c r="H2241" i="2" s="1"/>
  <c r="E2238" i="2"/>
  <c r="H2238" i="2" s="1"/>
  <c r="E2237" i="2"/>
  <c r="H2237" i="2" s="1"/>
  <c r="E2236" i="2"/>
  <c r="H2236" i="2" s="1"/>
  <c r="E2235" i="2"/>
  <c r="H2235" i="2" s="1"/>
  <c r="E2234" i="2"/>
  <c r="H2234" i="2" s="1"/>
  <c r="E2233" i="2"/>
  <c r="H2233" i="2" s="1"/>
  <c r="E2215" i="2"/>
  <c r="H2215" i="2" s="1"/>
  <c r="E2214" i="2"/>
  <c r="H2214" i="2" s="1"/>
  <c r="E2210" i="2"/>
  <c r="H2210" i="2" s="1"/>
  <c r="E2211" i="2"/>
  <c r="H2211" i="2" s="1"/>
  <c r="E2212" i="2"/>
  <c r="H2212" i="2" s="1"/>
  <c r="E2213" i="2"/>
  <c r="H2213" i="2" s="1"/>
  <c r="E2209" i="2"/>
  <c r="H2209" i="2" s="1"/>
  <c r="E2208" i="2"/>
  <c r="H2208" i="2" s="1"/>
  <c r="E2207" i="2"/>
  <c r="H2207" i="2" s="1"/>
  <c r="E2206" i="2"/>
  <c r="H2206" i="2" s="1"/>
  <c r="E2205" i="2"/>
  <c r="H2205" i="2" s="1"/>
  <c r="E2204" i="2"/>
  <c r="H2204" i="2" s="1"/>
  <c r="E2203" i="2"/>
  <c r="H2203" i="2" s="1"/>
  <c r="E2202" i="2"/>
  <c r="H2202" i="2" s="1"/>
  <c r="H2184" i="2"/>
  <c r="E2183" i="2"/>
  <c r="H2183" i="2" s="1"/>
  <c r="E2182" i="2"/>
  <c r="H2182" i="2" s="1"/>
  <c r="E2181" i="2"/>
  <c r="H2181" i="2" s="1"/>
  <c r="E2180" i="2"/>
  <c r="H2180" i="2" s="1"/>
  <c r="E2179" i="2"/>
  <c r="H2179" i="2" s="1"/>
  <c r="E2178" i="2"/>
  <c r="H2178" i="2" s="1"/>
  <c r="E2177" i="2"/>
  <c r="H2177" i="2" s="1"/>
  <c r="E2176" i="2"/>
  <c r="H2176" i="2" s="1"/>
  <c r="E2175" i="2"/>
  <c r="H2175" i="2" s="1"/>
  <c r="E2174" i="2"/>
  <c r="H2174" i="2" s="1"/>
  <c r="E2173" i="2"/>
  <c r="H2173" i="2" s="1"/>
  <c r="E2172" i="2"/>
  <c r="H2172" i="2" s="1"/>
  <c r="E2171" i="2"/>
  <c r="H2171" i="2" s="1"/>
  <c r="E2170" i="2"/>
  <c r="H2170" i="2" s="1"/>
  <c r="E2169" i="2"/>
  <c r="H2169" i="2" s="1"/>
  <c r="E2168" i="2"/>
  <c r="H2168" i="2" s="1"/>
  <c r="E2167" i="2"/>
  <c r="H2167" i="2" s="1"/>
  <c r="E2166" i="2"/>
  <c r="H2166" i="2" s="1"/>
  <c r="H2185" i="2"/>
  <c r="H2186" i="2"/>
  <c r="H2187" i="2"/>
  <c r="H2188" i="2"/>
  <c r="H2189" i="2"/>
  <c r="H2190" i="2"/>
  <c r="E2193" i="2"/>
  <c r="H2193" i="2" s="1"/>
  <c r="E2192" i="2"/>
  <c r="H2192" i="2" s="1"/>
  <c r="E2191" i="2"/>
  <c r="H2191" i="2" s="1"/>
  <c r="H2160" i="2"/>
  <c r="H2159" i="2"/>
  <c r="E2163" i="2"/>
  <c r="H2163" i="2" s="1"/>
  <c r="H2148" i="2"/>
  <c r="H2149" i="2"/>
  <c r="H2150" i="2"/>
  <c r="H2139" i="2"/>
  <c r="H2140" i="2"/>
  <c r="H2141" i="2"/>
  <c r="H2142" i="2"/>
  <c r="H2143" i="2"/>
  <c r="H2144" i="2"/>
  <c r="H2138" i="2"/>
  <c r="E2146" i="2"/>
  <c r="H2146" i="2" s="1"/>
  <c r="E2145" i="2"/>
  <c r="H2145" i="2" s="1"/>
  <c r="E2147" i="2"/>
  <c r="H2147" i="2" s="1"/>
  <c r="H2118" i="2"/>
  <c r="E2094" i="2"/>
  <c r="H2094" i="2" s="1"/>
  <c r="H2095" i="2"/>
  <c r="H2093" i="2"/>
  <c r="H2092" i="2"/>
  <c r="E2091" i="2"/>
  <c r="H2091" i="2" s="1"/>
  <c r="E2090" i="2"/>
  <c r="H2090" i="2" s="1"/>
  <c r="E2089" i="2"/>
  <c r="H2089" i="2" s="1"/>
  <c r="H2082" i="2"/>
  <c r="H2083" i="2"/>
  <c r="H2084" i="2"/>
  <c r="H2085" i="2"/>
  <c r="H2086" i="2"/>
  <c r="H2087" i="2"/>
  <c r="H2088" i="2"/>
  <c r="H2081" i="2"/>
  <c r="E2073" i="2"/>
  <c r="H2073" i="2" s="1"/>
  <c r="E2072" i="2"/>
  <c r="H2072" i="2" s="1"/>
  <c r="E2069" i="2"/>
  <c r="H2069" i="2" s="1"/>
  <c r="E2068" i="2"/>
  <c r="H2068" i="2" s="1"/>
  <c r="E2067" i="2"/>
  <c r="H2067" i="2" s="1"/>
  <c r="E2066" i="2"/>
  <c r="H2066" i="2" s="1"/>
  <c r="E2065" i="2"/>
  <c r="H2065" i="2" s="1"/>
  <c r="E2064" i="2"/>
  <c r="H2064" i="2" s="1"/>
  <c r="E2063" i="2"/>
  <c r="H2063" i="2" s="1"/>
  <c r="E2062" i="2"/>
  <c r="H2062" i="2" s="1"/>
  <c r="E2061" i="2"/>
  <c r="H2061" i="2" s="1"/>
  <c r="E2060" i="2"/>
  <c r="H2060" i="2" s="1"/>
  <c r="E2059" i="2"/>
  <c r="H2059" i="2" s="1"/>
  <c r="E2057" i="2"/>
  <c r="H2057" i="2" s="1"/>
  <c r="E2056" i="2"/>
  <c r="H2056" i="2" s="1"/>
  <c r="E2055" i="2"/>
  <c r="H2055" i="2" s="1"/>
  <c r="E2054" i="2"/>
  <c r="H2054" i="2" s="1"/>
  <c r="E2053" i="2"/>
  <c r="H2053" i="2" s="1"/>
  <c r="E2052" i="2"/>
  <c r="H2052" i="2" s="1"/>
  <c r="E2051" i="2"/>
  <c r="H2051" i="2" s="1"/>
  <c r="E2050" i="2"/>
  <c r="H2050" i="2" s="1"/>
  <c r="E2049" i="2"/>
  <c r="H2049" i="2" s="1"/>
  <c r="E2048" i="2"/>
  <c r="H2048" i="2" s="1"/>
  <c r="H2044" i="2"/>
  <c r="H2045" i="2"/>
  <c r="H2043" i="2"/>
  <c r="H2032" i="2"/>
  <c r="H2033" i="2"/>
  <c r="H2034" i="2"/>
  <c r="H2035" i="2"/>
  <c r="H2036" i="2"/>
  <c r="H2037" i="2"/>
  <c r="H2038" i="2"/>
  <c r="H2039" i="2"/>
  <c r="H2040" i="2"/>
  <c r="H2041" i="2"/>
  <c r="H2031" i="2"/>
  <c r="H2014" i="2"/>
  <c r="E2001" i="2"/>
  <c r="H2001" i="2" s="1"/>
  <c r="E1997" i="2"/>
  <c r="H1997" i="2" s="1"/>
  <c r="E1996" i="2"/>
  <c r="H1996" i="2" s="1"/>
  <c r="E1995" i="2"/>
  <c r="H1995" i="2" s="1"/>
  <c r="E1994" i="2"/>
  <c r="H1994" i="2" s="1"/>
  <c r="E1993" i="2"/>
  <c r="H1993" i="2" s="1"/>
  <c r="E1992" i="2"/>
  <c r="H1992" i="2" s="1"/>
  <c r="E1991" i="2"/>
  <c r="H1991" i="2" s="1"/>
  <c r="E1990" i="2"/>
  <c r="H1990" i="2" s="1"/>
  <c r="E1989" i="2"/>
  <c r="H1989" i="2" s="1"/>
  <c r="E1988" i="2"/>
  <c r="H1988" i="2" s="1"/>
  <c r="E1987" i="2"/>
  <c r="H1987" i="2" s="1"/>
  <c r="H1970" i="2"/>
  <c r="H1969" i="2"/>
  <c r="H1966" i="2"/>
  <c r="H1965" i="2"/>
  <c r="H1958" i="2"/>
  <c r="H1960" i="2"/>
  <c r="E1959" i="2"/>
  <c r="H1959" i="2" s="1"/>
  <c r="E1957" i="2"/>
  <c r="H1957" i="2" s="1"/>
  <c r="E1956" i="2"/>
  <c r="H1956" i="2" s="1"/>
  <c r="E1955" i="2"/>
  <c r="H1955" i="2" s="1"/>
  <c r="E1954" i="2"/>
  <c r="H1954" i="2" s="1"/>
  <c r="E1953" i="2"/>
  <c r="H1953" i="2" s="1"/>
  <c r="E1962" i="2"/>
  <c r="H1962" i="2" s="1"/>
  <c r="E1961" i="2"/>
  <c r="H1961" i="2" s="1"/>
  <c r="H1914" i="2"/>
  <c r="H1883" i="2"/>
  <c r="H1832" i="2"/>
  <c r="H1817" i="2"/>
  <c r="H1818" i="2"/>
  <c r="H1819" i="2"/>
  <c r="H1820" i="2"/>
  <c r="H1821" i="2"/>
  <c r="H1822" i="2"/>
  <c r="H1823" i="2"/>
  <c r="H1824" i="2"/>
  <c r="H1825" i="2"/>
  <c r="H1826" i="2"/>
  <c r="E1829" i="2"/>
  <c r="H1829" i="2" s="1"/>
  <c r="E1828" i="2"/>
  <c r="H1828" i="2" s="1"/>
  <c r="E1827" i="2"/>
  <c r="H1827" i="2" s="1"/>
  <c r="E1815" i="2"/>
  <c r="H1815" i="2" s="1"/>
  <c r="E1816" i="2"/>
  <c r="H1816" i="2" s="1"/>
  <c r="E1814" i="2"/>
  <c r="H1814" i="2" s="1"/>
  <c r="H1807" i="2"/>
  <c r="H1808" i="2"/>
  <c r="H1811" i="2"/>
  <c r="E1810" i="2"/>
  <c r="H1810" i="2" s="1"/>
  <c r="E1809" i="2"/>
  <c r="H1809" i="2" s="1"/>
  <c r="H1801" i="2"/>
  <c r="H1802" i="2"/>
  <c r="H1803" i="2"/>
  <c r="H1804" i="2"/>
  <c r="H1805" i="2"/>
  <c r="H1800" i="2"/>
  <c r="H1788" i="2"/>
  <c r="H1789" i="2"/>
  <c r="H1790" i="2"/>
  <c r="H1791" i="2"/>
  <c r="H1792" i="2"/>
  <c r="H1793" i="2"/>
  <c r="H1794" i="2"/>
  <c r="H1795" i="2"/>
  <c r="H1796" i="2"/>
  <c r="H1797" i="2"/>
  <c r="H1798" i="2"/>
  <c r="H1787" i="2"/>
  <c r="H1785" i="2"/>
  <c r="H1782" i="2"/>
  <c r="H1783" i="2"/>
  <c r="H1781" i="2"/>
  <c r="H1806" i="2"/>
  <c r="H1772" i="2"/>
  <c r="H1773" i="2"/>
  <c r="H1774" i="2"/>
  <c r="H1775" i="2"/>
  <c r="H1776" i="2"/>
  <c r="H1777" i="2"/>
  <c r="H1770" i="2"/>
  <c r="H1751" i="2"/>
  <c r="H1758" i="2"/>
  <c r="H1759" i="2"/>
  <c r="H1760" i="2"/>
  <c r="H1761" i="2"/>
  <c r="H1762" i="2"/>
  <c r="H1763" i="2"/>
  <c r="H1764" i="2"/>
  <c r="H1765" i="2"/>
  <c r="H1766" i="2"/>
  <c r="H1767" i="2"/>
  <c r="H1768" i="2"/>
  <c r="H1757" i="2"/>
  <c r="H1755" i="2"/>
  <c r="H1752" i="2"/>
  <c r="H1753" i="2"/>
  <c r="H1746" i="2"/>
  <c r="E1726" i="2"/>
  <c r="H1726" i="2" s="1"/>
  <c r="E1727" i="2"/>
  <c r="H1727" i="2" s="1"/>
  <c r="E1728" i="2"/>
  <c r="H1728" i="2" s="1"/>
  <c r="E1729" i="2"/>
  <c r="H1729" i="2" s="1"/>
  <c r="E1730" i="2"/>
  <c r="H1730" i="2" s="1"/>
  <c r="E1731" i="2"/>
  <c r="H1731" i="2" s="1"/>
  <c r="E1732" i="2"/>
  <c r="H1732" i="2" s="1"/>
  <c r="E1733" i="2"/>
  <c r="H1733" i="2" s="1"/>
  <c r="E1734" i="2"/>
  <c r="H1734" i="2" s="1"/>
  <c r="E1735" i="2"/>
  <c r="H1735" i="2" s="1"/>
  <c r="E1736" i="2"/>
  <c r="H1736" i="2" s="1"/>
  <c r="E1737" i="2"/>
  <c r="H1737" i="2" s="1"/>
  <c r="E1738" i="2"/>
  <c r="H1738" i="2" s="1"/>
  <c r="E1739" i="2"/>
  <c r="H1739" i="2" s="1"/>
  <c r="E1740" i="2"/>
  <c r="H1740" i="2" s="1"/>
  <c r="E1741" i="2"/>
  <c r="H1741" i="2" s="1"/>
  <c r="E1742" i="2"/>
  <c r="H1742" i="2" s="1"/>
  <c r="E1743" i="2"/>
  <c r="H1743" i="2" s="1"/>
  <c r="E1701" i="2"/>
  <c r="H1701" i="2" s="1"/>
  <c r="E1702" i="2"/>
  <c r="H1702" i="2" s="1"/>
  <c r="E1703" i="2"/>
  <c r="H1703" i="2" s="1"/>
  <c r="E1704" i="2"/>
  <c r="H1704" i="2" s="1"/>
  <c r="E1705" i="2"/>
  <c r="H1705" i="2" s="1"/>
  <c r="E1706" i="2"/>
  <c r="H1706" i="2" s="1"/>
  <c r="E1707" i="2"/>
  <c r="H1707" i="2" s="1"/>
  <c r="E1708" i="2"/>
  <c r="H1708" i="2" s="1"/>
  <c r="E1709" i="2"/>
  <c r="H1709" i="2" s="1"/>
  <c r="E1710" i="2"/>
  <c r="H1710" i="2" s="1"/>
  <c r="E1711" i="2"/>
  <c r="H1711" i="2" s="1"/>
  <c r="E1712" i="2"/>
  <c r="H1712" i="2" s="1"/>
  <c r="E1713" i="2"/>
  <c r="H1713" i="2" s="1"/>
  <c r="E1714" i="2"/>
  <c r="H1714" i="2" s="1"/>
  <c r="E1715" i="2"/>
  <c r="H1715" i="2" s="1"/>
  <c r="E1716" i="2"/>
  <c r="H1716" i="2" s="1"/>
  <c r="E1717" i="2"/>
  <c r="H1717" i="2" s="1"/>
  <c r="E1718" i="2"/>
  <c r="H1718" i="2" s="1"/>
  <c r="E1719" i="2"/>
  <c r="H1719" i="2" s="1"/>
  <c r="E1720" i="2"/>
  <c r="H1720" i="2" s="1"/>
  <c r="E1721" i="2"/>
  <c r="H1721" i="2" s="1"/>
  <c r="E1722" i="2"/>
  <c r="H1722" i="2" s="1"/>
  <c r="E1723" i="2"/>
  <c r="H1723" i="2" s="1"/>
  <c r="E1724" i="2"/>
  <c r="H1724" i="2" s="1"/>
  <c r="E1725" i="2"/>
  <c r="H1725" i="2" s="1"/>
  <c r="E1700" i="2"/>
  <c r="H1700" i="2" s="1"/>
  <c r="H1667" i="2"/>
  <c r="H1668" i="2"/>
  <c r="H1670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66" i="2"/>
  <c r="H1660" i="2"/>
  <c r="H1657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12" i="2"/>
  <c r="H1599" i="2" l="1"/>
  <c r="E1603" i="2"/>
  <c r="H1603" i="2" s="1"/>
  <c r="E1602" i="2"/>
  <c r="H1602" i="2" s="1"/>
  <c r="E1601" i="2"/>
  <c r="H1601" i="2" s="1"/>
  <c r="E1600" i="2"/>
  <c r="H1600" i="2" s="1"/>
  <c r="E1594" i="2"/>
  <c r="H1594" i="2" s="1"/>
  <c r="E1592" i="2"/>
  <c r="H1592" i="2" s="1"/>
  <c r="E1593" i="2"/>
  <c r="H1593" i="2" s="1"/>
  <c r="E1591" i="2"/>
  <c r="H1591" i="2" s="1"/>
  <c r="H1595" i="2"/>
  <c r="H1583" i="2"/>
  <c r="H1585" i="2"/>
  <c r="H1586" i="2"/>
  <c r="H1587" i="2"/>
  <c r="H1577" i="2"/>
  <c r="H1578" i="2"/>
  <c r="H1579" i="2"/>
  <c r="H1576" i="2"/>
  <c r="H1573" i="2"/>
  <c r="E1568" i="2"/>
  <c r="H1568" i="2" s="1"/>
  <c r="E1569" i="2"/>
  <c r="H1569" i="2" s="1"/>
  <c r="E1567" i="2"/>
  <c r="H1567" i="2" s="1"/>
  <c r="E1566" i="2"/>
  <c r="H1566" i="2" s="1"/>
  <c r="H1544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27" i="2"/>
  <c r="E1524" i="2"/>
  <c r="H1524" i="2" s="1"/>
  <c r="E1523" i="2"/>
  <c r="H1523" i="2" s="1"/>
  <c r="E1522" i="2"/>
  <c r="H1522" i="2" s="1"/>
  <c r="E1521" i="2"/>
  <c r="H1521" i="2" s="1"/>
  <c r="E1520" i="2"/>
  <c r="H1520" i="2" s="1"/>
  <c r="E1519" i="2"/>
  <c r="H1519" i="2" s="1"/>
  <c r="E1518" i="2"/>
  <c r="H1518" i="2" s="1"/>
  <c r="E1517" i="2"/>
  <c r="H1517" i="2" s="1"/>
  <c r="E1516" i="2"/>
  <c r="H1516" i="2" s="1"/>
  <c r="E1515" i="2"/>
  <c r="H1515" i="2" s="1"/>
  <c r="E1514" i="2"/>
  <c r="H1514" i="2" s="1"/>
  <c r="E1513" i="2"/>
  <c r="H1513" i="2" s="1"/>
  <c r="E1484" i="2"/>
  <c r="H1484" i="2" s="1"/>
  <c r="E1483" i="2"/>
  <c r="H1483" i="2" s="1"/>
  <c r="E1482" i="2"/>
  <c r="H1482" i="2" s="1"/>
  <c r="E1481" i="2"/>
  <c r="H1481" i="2" s="1"/>
  <c r="E1480" i="2"/>
  <c r="H1480" i="2" s="1"/>
  <c r="E1479" i="2"/>
  <c r="H1479" i="2" s="1"/>
  <c r="E1478" i="2"/>
  <c r="H1478" i="2" s="1"/>
  <c r="E1477" i="2"/>
  <c r="H1477" i="2" s="1"/>
  <c r="E1476" i="2"/>
  <c r="H1476" i="2" s="1"/>
  <c r="E1475" i="2"/>
  <c r="H1475" i="2" s="1"/>
  <c r="E1474" i="2"/>
  <c r="H1474" i="2" s="1"/>
  <c r="E1473" i="2"/>
  <c r="H1473" i="2" s="1"/>
  <c r="E1472" i="2"/>
  <c r="H1472" i="2" s="1"/>
  <c r="E1471" i="2"/>
  <c r="H1471" i="2" s="1"/>
  <c r="E1470" i="2"/>
  <c r="H1470" i="2" s="1"/>
  <c r="H1467" i="2"/>
  <c r="H1430" i="2"/>
  <c r="H1423" i="2"/>
  <c r="H1424" i="2"/>
  <c r="H1425" i="2"/>
  <c r="H1426" i="2"/>
  <c r="H1427" i="2"/>
  <c r="H1422" i="2"/>
  <c r="H1401" i="2"/>
  <c r="H1381" i="2"/>
  <c r="H1371" i="2"/>
  <c r="E1363" i="2"/>
  <c r="H1363" i="2" s="1"/>
  <c r="E1362" i="2"/>
  <c r="H1362" i="2" s="1"/>
  <c r="E1361" i="2"/>
  <c r="H1361" i="2" s="1"/>
  <c r="E1360" i="2"/>
  <c r="H1360" i="2" s="1"/>
  <c r="E1359" i="2"/>
  <c r="H1359" i="2" s="1"/>
  <c r="E1358" i="2"/>
  <c r="H1358" i="2" s="1"/>
  <c r="E1355" i="2"/>
  <c r="H1355" i="2" s="1"/>
  <c r="E1356" i="2"/>
  <c r="H1356" i="2" s="1"/>
  <c r="E1357" i="2"/>
  <c r="H1357" i="2" s="1"/>
  <c r="E1354" i="2"/>
  <c r="H1354" i="2" s="1"/>
  <c r="E1353" i="2"/>
  <c r="H1353" i="2" s="1"/>
  <c r="E1352" i="2"/>
  <c r="H1352" i="2" s="1"/>
  <c r="E1351" i="2"/>
  <c r="H1351" i="2" s="1"/>
  <c r="E1350" i="2"/>
  <c r="H1350" i="2" s="1"/>
  <c r="H1346" i="2"/>
  <c r="E1345" i="2"/>
  <c r="H1345" i="2" s="1"/>
  <c r="E1342" i="2"/>
  <c r="H1342" i="2" s="1"/>
  <c r="E1343" i="2"/>
  <c r="H1343" i="2" s="1"/>
  <c r="E1344" i="2"/>
  <c r="H1344" i="2" s="1"/>
  <c r="E1341" i="2"/>
  <c r="H1341" i="2" s="1"/>
  <c r="E1340" i="2"/>
  <c r="H1340" i="2" s="1"/>
  <c r="E1338" i="2"/>
  <c r="H1338" i="2" s="1"/>
  <c r="E1339" i="2"/>
  <c r="H1339" i="2" s="1"/>
  <c r="E1337" i="2"/>
  <c r="H1337" i="2" s="1"/>
  <c r="E1336" i="2"/>
  <c r="H1336" i="2" s="1"/>
  <c r="E1334" i="2"/>
  <c r="H1334" i="2" s="1"/>
  <c r="E1333" i="2"/>
  <c r="H1333" i="2" s="1"/>
  <c r="E1332" i="2"/>
  <c r="H1332" i="2" s="1"/>
  <c r="E1331" i="2"/>
  <c r="H1331" i="2" s="1"/>
  <c r="E1330" i="2"/>
  <c r="H1330" i="2" s="1"/>
  <c r="E1329" i="2"/>
  <c r="H1329" i="2" s="1"/>
  <c r="E1328" i="2"/>
  <c r="H1328" i="2" s="1"/>
  <c r="E1327" i="2"/>
  <c r="H1327" i="2" s="1"/>
  <c r="E1326" i="2"/>
  <c r="H1326" i="2" s="1"/>
  <c r="E1325" i="2"/>
  <c r="H1325" i="2" s="1"/>
  <c r="E1324" i="2"/>
  <c r="H1324" i="2" s="1"/>
  <c r="E1323" i="2"/>
  <c r="H1323" i="2" s="1"/>
  <c r="E1322" i="2"/>
  <c r="H1322" i="2" s="1"/>
  <c r="E1321" i="2"/>
  <c r="H1321" i="2" s="1"/>
  <c r="E1335" i="2"/>
  <c r="H1335" i="2" s="1"/>
  <c r="E1298" i="2"/>
  <c r="H1298" i="2" s="1"/>
  <c r="H1293" i="2"/>
  <c r="H1294" i="2"/>
  <c r="H1295" i="2"/>
  <c r="H1297" i="2"/>
  <c r="E1296" i="2"/>
  <c r="H1296" i="2" s="1"/>
  <c r="E1292" i="2"/>
  <c r="H1292" i="2" s="1"/>
  <c r="E1291" i="2"/>
  <c r="H1291" i="2" s="1"/>
  <c r="E1290" i="2"/>
  <c r="H1290" i="2" s="1"/>
  <c r="E1289" i="2"/>
  <c r="H1289" i="2" s="1"/>
  <c r="E1287" i="2"/>
  <c r="H1287" i="2" s="1"/>
  <c r="E1286" i="2"/>
  <c r="H1286" i="2" s="1"/>
  <c r="E1285" i="2"/>
  <c r="H1285" i="2" s="1"/>
  <c r="E1284" i="2"/>
  <c r="H1284" i="2" s="1"/>
  <c r="E1283" i="2"/>
  <c r="H1283" i="2" s="1"/>
  <c r="E1282" i="2"/>
  <c r="H1282" i="2" s="1"/>
  <c r="E1281" i="2"/>
  <c r="H1281" i="2" s="1"/>
  <c r="E1280" i="2"/>
  <c r="H1280" i="2" s="1"/>
  <c r="H1253" i="2"/>
  <c r="H1254" i="2"/>
  <c r="H1256" i="2"/>
  <c r="H1257" i="2"/>
  <c r="H1258" i="2"/>
  <c r="H1259" i="2"/>
  <c r="H1260" i="2"/>
  <c r="E1255" i="2"/>
  <c r="H1255" i="2" s="1"/>
  <c r="E1252" i="2"/>
  <c r="H1252" i="2" s="1"/>
  <c r="E1251" i="2"/>
  <c r="H1251" i="2" s="1"/>
  <c r="H1242" i="2"/>
  <c r="H1238" i="2"/>
  <c r="H1239" i="2"/>
  <c r="E1236" i="2"/>
  <c r="H1236" i="2" s="1"/>
  <c r="E1235" i="2"/>
  <c r="H1235" i="2" s="1"/>
  <c r="E1234" i="2"/>
  <c r="H1234" i="2" s="1"/>
  <c r="E1233" i="2"/>
  <c r="H1233" i="2" s="1"/>
  <c r="E1232" i="2"/>
  <c r="H1232" i="2" s="1"/>
  <c r="E1237" i="2"/>
  <c r="H1237" i="2" s="1"/>
  <c r="H1230" i="2"/>
  <c r="E1231" i="2"/>
  <c r="H1231" i="2" s="1"/>
  <c r="E1229" i="2"/>
  <c r="H1229" i="2" s="1"/>
  <c r="E1228" i="2"/>
  <c r="H1228" i="2" s="1"/>
  <c r="H1226" i="2"/>
  <c r="E1227" i="2"/>
  <c r="H1227" i="2" s="1"/>
  <c r="E1225" i="2"/>
  <c r="H1225" i="2" s="1"/>
  <c r="E1224" i="2"/>
  <c r="H1224" i="2" s="1"/>
  <c r="E1223" i="2"/>
  <c r="H1223" i="2" s="1"/>
  <c r="E1222" i="2"/>
  <c r="H1222" i="2" s="1"/>
  <c r="E1221" i="2"/>
  <c r="H1221" i="2" s="1"/>
  <c r="E1220" i="2"/>
  <c r="H1220" i="2" s="1"/>
  <c r="E1219" i="2"/>
  <c r="H1219" i="2" s="1"/>
  <c r="E1218" i="2"/>
  <c r="H1218" i="2" s="1"/>
  <c r="E1217" i="2"/>
  <c r="H1217" i="2" s="1"/>
  <c r="E1214" i="2"/>
  <c r="H1214" i="2" s="1"/>
  <c r="E1213" i="2"/>
  <c r="H1213" i="2" s="1"/>
  <c r="E1212" i="2"/>
  <c r="H1212" i="2" s="1"/>
  <c r="E1211" i="2"/>
  <c r="H1211" i="2" s="1"/>
  <c r="E1210" i="2"/>
  <c r="H1210" i="2" s="1"/>
  <c r="E1209" i="2"/>
  <c r="H1209" i="2" s="1"/>
  <c r="E1208" i="2"/>
  <c r="H1208" i="2" s="1"/>
  <c r="E1207" i="2"/>
  <c r="H1207" i="2" s="1"/>
  <c r="E1215" i="2"/>
  <c r="H1215" i="2" s="1"/>
  <c r="E1216" i="2"/>
  <c r="H1216" i="2" s="1"/>
  <c r="E1206" i="2"/>
  <c r="H1206" i="2" s="1"/>
  <c r="H1189" i="2"/>
  <c r="E1186" i="2"/>
  <c r="H1186" i="2" s="1"/>
  <c r="E1185" i="2"/>
  <c r="H1185" i="2" s="1"/>
  <c r="E1184" i="2"/>
  <c r="H1184" i="2" s="1"/>
  <c r="E1183" i="2"/>
  <c r="H1183" i="2" s="1"/>
  <c r="E1182" i="2"/>
  <c r="H1182" i="2" s="1"/>
  <c r="E1181" i="2"/>
  <c r="H1181" i="2" s="1"/>
  <c r="E1180" i="2"/>
  <c r="H1180" i="2" s="1"/>
  <c r="E1179" i="2"/>
  <c r="H1179" i="2" s="1"/>
  <c r="E1178" i="2"/>
  <c r="H1178" i="2" s="1"/>
  <c r="E1177" i="2"/>
  <c r="H1177" i="2" s="1"/>
  <c r="E1176" i="2"/>
  <c r="H1176" i="2" s="1"/>
  <c r="E1172" i="2"/>
  <c r="H1172" i="2" s="1"/>
  <c r="E1171" i="2"/>
  <c r="H1171" i="2" s="1"/>
  <c r="E1170" i="2"/>
  <c r="H1170" i="2" s="1"/>
  <c r="E1169" i="2"/>
  <c r="H1169" i="2" s="1"/>
  <c r="E1168" i="2"/>
  <c r="H1168" i="2" s="1"/>
  <c r="E1166" i="2"/>
  <c r="H1166" i="2" s="1"/>
  <c r="E1167" i="2"/>
  <c r="H1167" i="2" s="1"/>
  <c r="E1165" i="2"/>
  <c r="H1165" i="2" s="1"/>
  <c r="E1173" i="2"/>
  <c r="H1173" i="2" s="1"/>
  <c r="E1174" i="2"/>
  <c r="H1174" i="2" s="1"/>
  <c r="H1161" i="2"/>
  <c r="H1162" i="2"/>
  <c r="H1163" i="2"/>
  <c r="H1160" i="2"/>
  <c r="H1158" i="2"/>
  <c r="H1153" i="2"/>
  <c r="H1154" i="2"/>
  <c r="H1155" i="2"/>
  <c r="H1156" i="2"/>
  <c r="H1157" i="2"/>
  <c r="E1149" i="2"/>
  <c r="H1149" i="2" s="1"/>
  <c r="E1148" i="2"/>
  <c r="H1148" i="2" s="1"/>
  <c r="E1147" i="2"/>
  <c r="H1147" i="2" s="1"/>
  <c r="E1146" i="2"/>
  <c r="H1146" i="2" s="1"/>
  <c r="E1145" i="2"/>
  <c r="H1145" i="2" s="1"/>
  <c r="E1144" i="2"/>
  <c r="H1144" i="2" s="1"/>
  <c r="E1143" i="2"/>
  <c r="H1143" i="2" s="1"/>
  <c r="E1131" i="2"/>
  <c r="H1131" i="2" s="1"/>
  <c r="E1130" i="2"/>
  <c r="H1130" i="2" s="1"/>
  <c r="E1129" i="2"/>
  <c r="H1129" i="2" s="1"/>
  <c r="E1128" i="2"/>
  <c r="H1128" i="2" s="1"/>
  <c r="E1125" i="2"/>
  <c r="H1125" i="2" s="1"/>
  <c r="E1126" i="2"/>
  <c r="H1126" i="2" s="1"/>
  <c r="E1127" i="2"/>
  <c r="H1127" i="2" s="1"/>
  <c r="E1124" i="2"/>
  <c r="H1124" i="2" s="1"/>
  <c r="E1123" i="2"/>
  <c r="H1123" i="2" s="1"/>
  <c r="E1122" i="2"/>
  <c r="H1122" i="2" s="1"/>
  <c r="E1121" i="2"/>
  <c r="H1121" i="2" s="1"/>
  <c r="E1120" i="2"/>
  <c r="H1120" i="2" s="1"/>
  <c r="E1119" i="2"/>
  <c r="H1119" i="2" s="1"/>
  <c r="E1116" i="2"/>
  <c r="H1116" i="2" s="1"/>
  <c r="E1115" i="2"/>
  <c r="H1115" i="2" s="1"/>
  <c r="E1114" i="2"/>
  <c r="H1114" i="2" s="1"/>
  <c r="E1113" i="2"/>
  <c r="H1113" i="2" s="1"/>
  <c r="E1112" i="2"/>
  <c r="H1112" i="2" s="1"/>
  <c r="E1111" i="2"/>
  <c r="H1111" i="2" s="1"/>
  <c r="E1110" i="2"/>
  <c r="H1110" i="2" s="1"/>
  <c r="E1109" i="2"/>
  <c r="H1109" i="2" s="1"/>
  <c r="E1108" i="2"/>
  <c r="H1108" i="2" s="1"/>
  <c r="E1107" i="2"/>
  <c r="H1107" i="2" s="1"/>
  <c r="E1106" i="2"/>
  <c r="H1106" i="2" s="1"/>
  <c r="E1105" i="2"/>
  <c r="H1105" i="2" s="1"/>
  <c r="E1089" i="2"/>
  <c r="H1089" i="2" s="1"/>
  <c r="E1090" i="2"/>
  <c r="H1090" i="2" s="1"/>
  <c r="E1091" i="2"/>
  <c r="H1091" i="2" s="1"/>
  <c r="E1092" i="2"/>
  <c r="H1092" i="2" s="1"/>
  <c r="E1093" i="2"/>
  <c r="H1093" i="2" s="1"/>
  <c r="E1088" i="2"/>
  <c r="H1088" i="2" s="1"/>
  <c r="E1039" i="2"/>
  <c r="H1039" i="2" s="1"/>
  <c r="H1069" i="2"/>
  <c r="E1075" i="2"/>
  <c r="H1075" i="2" s="1"/>
  <c r="E1074" i="2"/>
  <c r="H1074" i="2" s="1"/>
  <c r="E1073" i="2"/>
  <c r="H1073" i="2" s="1"/>
  <c r="E1065" i="2"/>
  <c r="H1065" i="2" s="1"/>
  <c r="E1064" i="2"/>
  <c r="H1064" i="2" s="1"/>
  <c r="E1063" i="2"/>
  <c r="H1063" i="2" s="1"/>
  <c r="E1062" i="2"/>
  <c r="H1062" i="2" s="1"/>
  <c r="E1061" i="2"/>
  <c r="H1061" i="2" s="1"/>
  <c r="E1060" i="2"/>
  <c r="H1060" i="2" s="1"/>
  <c r="E1059" i="2"/>
  <c r="H1059" i="2" s="1"/>
  <c r="E1057" i="2"/>
  <c r="H1057" i="2" s="1"/>
  <c r="E1058" i="2"/>
  <c r="H1058" i="2" s="1"/>
  <c r="E1056" i="2"/>
  <c r="H1056" i="2" s="1"/>
  <c r="E1055" i="2"/>
  <c r="H1055" i="2" s="1"/>
  <c r="E1054" i="2"/>
  <c r="H1054" i="2" s="1"/>
  <c r="E1053" i="2"/>
  <c r="H1053" i="2" s="1"/>
  <c r="E1052" i="2"/>
  <c r="H1052" i="2" s="1"/>
  <c r="E1051" i="2"/>
  <c r="H1051" i="2" s="1"/>
  <c r="E1050" i="2"/>
  <c r="H1050" i="2" s="1"/>
  <c r="E1049" i="2"/>
  <c r="H1049" i="2" s="1"/>
  <c r="E1048" i="2"/>
  <c r="H1048" i="2" s="1"/>
  <c r="E1047" i="2"/>
  <c r="H1047" i="2" s="1"/>
  <c r="E1046" i="2"/>
  <c r="H1046" i="2" s="1"/>
  <c r="E1045" i="2"/>
  <c r="H1045" i="2" s="1"/>
  <c r="E1040" i="2"/>
  <c r="H1040" i="2" s="1"/>
  <c r="E1041" i="2"/>
  <c r="H1041" i="2" s="1"/>
  <c r="E1042" i="2"/>
  <c r="H1042" i="2" s="1"/>
  <c r="E1043" i="2"/>
  <c r="H1043" i="2" s="1"/>
  <c r="E1044" i="2"/>
  <c r="H1044" i="2" s="1"/>
  <c r="E1036" i="2"/>
  <c r="H1036" i="2" s="1"/>
  <c r="E1035" i="2"/>
  <c r="H1035" i="2" s="1"/>
  <c r="E1034" i="2"/>
  <c r="H1034" i="2" s="1"/>
  <c r="E1033" i="2"/>
  <c r="H1033" i="2" s="1"/>
  <c r="E1032" i="2"/>
  <c r="H1032" i="2" s="1"/>
  <c r="E1031" i="2"/>
  <c r="H1031" i="2" s="1"/>
  <c r="E1030" i="2"/>
  <c r="H1030" i="2" s="1"/>
  <c r="E1029" i="2"/>
  <c r="H1029" i="2" s="1"/>
  <c r="E1028" i="2"/>
  <c r="H1028" i="2" s="1"/>
  <c r="E1027" i="2"/>
  <c r="H1027" i="2" s="1"/>
  <c r="E1026" i="2"/>
  <c r="H1026" i="2" s="1"/>
  <c r="E1025" i="2"/>
  <c r="H1025" i="2" s="1"/>
  <c r="E1024" i="2"/>
  <c r="H1024" i="2" s="1"/>
  <c r="H1016" i="2"/>
  <c r="E1018" i="2"/>
  <c r="H1018" i="2" s="1"/>
  <c r="E1019" i="2"/>
  <c r="H1019" i="2" s="1"/>
  <c r="E1020" i="2"/>
  <c r="H1020" i="2" s="1"/>
  <c r="E1017" i="2"/>
  <c r="H1017" i="2" s="1"/>
  <c r="E1015" i="2"/>
  <c r="H1015" i="2" s="1"/>
  <c r="H1008" i="2"/>
  <c r="E989" i="2"/>
  <c r="H989" i="2" s="1"/>
  <c r="E956" i="2"/>
  <c r="H956" i="2" s="1"/>
  <c r="E955" i="2"/>
  <c r="H955" i="2" s="1"/>
  <c r="E954" i="2"/>
  <c r="H954" i="2" s="1"/>
  <c r="E953" i="2"/>
  <c r="H953" i="2" s="1"/>
  <c r="E952" i="2"/>
  <c r="H952" i="2" s="1"/>
  <c r="E951" i="2"/>
  <c r="H951" i="2" s="1"/>
  <c r="H948" i="2"/>
  <c r="E943" i="2"/>
  <c r="H943" i="2" s="1"/>
  <c r="E942" i="2"/>
  <c r="H942" i="2" s="1"/>
  <c r="E939" i="2"/>
  <c r="H939" i="2" s="1"/>
  <c r="E940" i="2"/>
  <c r="H940" i="2" s="1"/>
  <c r="E941" i="2"/>
  <c r="H941" i="2" s="1"/>
  <c r="E938" i="2"/>
  <c r="H938" i="2" s="1"/>
  <c r="E929" i="2"/>
  <c r="H929" i="2" s="1"/>
  <c r="E928" i="2"/>
  <c r="H928" i="2" s="1"/>
  <c r="E925" i="2"/>
  <c r="H925" i="2" s="1"/>
  <c r="E924" i="2"/>
  <c r="H924" i="2" s="1"/>
  <c r="E923" i="2"/>
  <c r="H923" i="2" s="1"/>
  <c r="E922" i="2"/>
  <c r="H922" i="2" s="1"/>
  <c r="E916" i="2"/>
  <c r="H916" i="2" s="1"/>
  <c r="E917" i="2"/>
  <c r="H917" i="2" s="1"/>
  <c r="E918" i="2"/>
  <c r="H918" i="2" s="1"/>
  <c r="E915" i="2"/>
  <c r="H915" i="2" s="1"/>
  <c r="H911" i="2"/>
  <c r="E910" i="2"/>
  <c r="H910" i="2" s="1"/>
  <c r="E909" i="2"/>
  <c r="H909" i="2" s="1"/>
  <c r="H885" i="2"/>
  <c r="H898" i="2"/>
  <c r="H886" i="2"/>
  <c r="H845" i="2"/>
  <c r="E842" i="2"/>
  <c r="H842" i="2" s="1"/>
  <c r="E843" i="2"/>
  <c r="H843" i="2" s="1"/>
  <c r="E841" i="2"/>
  <c r="H841" i="2" s="1"/>
  <c r="E821" i="2"/>
  <c r="H821" i="2" s="1"/>
  <c r="E819" i="2"/>
  <c r="H819" i="2" s="1"/>
  <c r="E818" i="2"/>
  <c r="H818" i="2" s="1"/>
  <c r="E817" i="2"/>
  <c r="H817" i="2" s="1"/>
  <c r="E816" i="2"/>
  <c r="H816" i="2" s="1"/>
  <c r="E815" i="2"/>
  <c r="H815" i="2" s="1"/>
  <c r="E813" i="2"/>
  <c r="H813" i="2" s="1"/>
  <c r="E812" i="2"/>
  <c r="H812" i="2" s="1"/>
  <c r="E811" i="2"/>
  <c r="H811" i="2" s="1"/>
  <c r="E810" i="2"/>
  <c r="H810" i="2" s="1"/>
  <c r="E808" i="2"/>
  <c r="H808" i="2" s="1"/>
  <c r="E805" i="2"/>
  <c r="H805" i="2" s="1"/>
  <c r="E806" i="2"/>
  <c r="H806" i="2" s="1"/>
  <c r="E804" i="2"/>
  <c r="H804" i="2" s="1"/>
  <c r="E785" i="2"/>
  <c r="H785" i="2" s="1"/>
  <c r="E786" i="2"/>
  <c r="H786" i="2" s="1"/>
  <c r="E784" i="2"/>
  <c r="H784" i="2" s="1"/>
  <c r="E782" i="2"/>
  <c r="H782" i="2" s="1"/>
  <c r="E781" i="2"/>
  <c r="H781" i="2" s="1"/>
  <c r="E780" i="2"/>
  <c r="H780" i="2" s="1"/>
  <c r="E779" i="2"/>
  <c r="H779" i="2" s="1"/>
  <c r="E776" i="2"/>
  <c r="H776" i="2" s="1"/>
  <c r="E777" i="2"/>
  <c r="H777" i="2" s="1"/>
  <c r="E775" i="2"/>
  <c r="H775" i="2" s="1"/>
  <c r="E771" i="2"/>
  <c r="H771" i="2" s="1"/>
  <c r="E770" i="2"/>
  <c r="H770" i="2" s="1"/>
  <c r="E769" i="2"/>
  <c r="H769" i="2" s="1"/>
  <c r="E768" i="2"/>
  <c r="H768" i="2" s="1"/>
  <c r="E767" i="2"/>
  <c r="H767" i="2" s="1"/>
  <c r="E764" i="2"/>
  <c r="H764" i="2" s="1"/>
  <c r="E765" i="2"/>
  <c r="H765" i="2" s="1"/>
  <c r="E763" i="2"/>
  <c r="H763" i="2" s="1"/>
  <c r="E746" i="2"/>
  <c r="H746" i="2" s="1"/>
  <c r="E747" i="2"/>
  <c r="H747" i="2" s="1"/>
  <c r="E745" i="2"/>
  <c r="H745" i="2" s="1"/>
  <c r="E743" i="2"/>
  <c r="H743" i="2" s="1"/>
  <c r="E742" i="2"/>
  <c r="H742" i="2" s="1"/>
  <c r="E741" i="2"/>
  <c r="H741" i="2" s="1"/>
  <c r="E740" i="2"/>
  <c r="H740" i="2" s="1"/>
  <c r="E737" i="2"/>
  <c r="H737" i="2" s="1"/>
  <c r="E738" i="2"/>
  <c r="H738" i="2" s="1"/>
  <c r="E736" i="2"/>
  <c r="H736" i="2" s="1"/>
  <c r="E644" i="2"/>
  <c r="H644" i="2" s="1"/>
  <c r="E645" i="2"/>
  <c r="H645" i="2" s="1"/>
  <c r="E646" i="2"/>
  <c r="H646" i="2" s="1"/>
  <c r="E647" i="2"/>
  <c r="H647" i="2" s="1"/>
  <c r="E643" i="2"/>
  <c r="H643" i="2" s="1"/>
  <c r="E642" i="2"/>
  <c r="H642" i="2" s="1"/>
  <c r="E641" i="2"/>
  <c r="H641" i="2" s="1"/>
  <c r="E640" i="2"/>
  <c r="H640" i="2" s="1"/>
  <c r="E639" i="2"/>
  <c r="H639" i="2" s="1"/>
  <c r="E638" i="2"/>
  <c r="H638" i="2" s="1"/>
  <c r="E637" i="2"/>
  <c r="H637" i="2" s="1"/>
  <c r="E636" i="2"/>
  <c r="H636" i="2" s="1"/>
  <c r="E635" i="2"/>
  <c r="H635" i="2" s="1"/>
  <c r="E634" i="2"/>
  <c r="H634" i="2" s="1"/>
  <c r="E633" i="2"/>
  <c r="H633" i="2" s="1"/>
  <c r="E629" i="2"/>
  <c r="H629" i="2" s="1"/>
  <c r="E630" i="2"/>
  <c r="H630" i="2" s="1"/>
  <c r="E631" i="2"/>
  <c r="H631" i="2" s="1"/>
  <c r="E628" i="2"/>
  <c r="H628" i="2" s="1"/>
  <c r="E626" i="2"/>
  <c r="H626" i="2" s="1"/>
  <c r="E625" i="2"/>
  <c r="H625" i="2" s="1"/>
  <c r="E624" i="2"/>
  <c r="H624" i="2" s="1"/>
  <c r="E623" i="2"/>
  <c r="H623" i="2" s="1"/>
  <c r="E622" i="2"/>
  <c r="H622" i="2" s="1"/>
  <c r="E621" i="2"/>
  <c r="H621" i="2" s="1"/>
  <c r="E620" i="2"/>
  <c r="H620" i="2" s="1"/>
  <c r="E619" i="2"/>
  <c r="H619" i="2" s="1"/>
  <c r="E618" i="2"/>
  <c r="H618" i="2" s="1"/>
  <c r="E617" i="2"/>
  <c r="H617" i="2" s="1"/>
  <c r="E616" i="2"/>
  <c r="H616" i="2" s="1"/>
  <c r="E615" i="2"/>
  <c r="H615" i="2" s="1"/>
  <c r="E612" i="2"/>
  <c r="H612" i="2" s="1"/>
  <c r="E613" i="2"/>
  <c r="H613" i="2" s="1"/>
  <c r="E611" i="2"/>
  <c r="H611" i="2" s="1"/>
  <c r="E594" i="2"/>
  <c r="H594" i="2" s="1"/>
  <c r="E595" i="2"/>
  <c r="H595" i="2" s="1"/>
  <c r="E596" i="2"/>
  <c r="H596" i="2" s="1"/>
  <c r="E593" i="2"/>
  <c r="H593" i="2" s="1"/>
  <c r="E538" i="2"/>
  <c r="H538" i="2" s="1"/>
  <c r="E537" i="2"/>
  <c r="H537" i="2" s="1"/>
  <c r="E535" i="2"/>
  <c r="H535" i="2" s="1"/>
  <c r="E533" i="2"/>
  <c r="H533" i="2" s="1"/>
  <c r="E532" i="2"/>
  <c r="H532" i="2" s="1"/>
  <c r="E530" i="2"/>
  <c r="H530" i="2" s="1"/>
  <c r="E531" i="2"/>
  <c r="H531" i="2" s="1"/>
  <c r="E529" i="2"/>
  <c r="H529" i="2" s="1"/>
  <c r="E528" i="2"/>
  <c r="H528" i="2" s="1"/>
  <c r="E524" i="2"/>
  <c r="H524" i="2" s="1"/>
  <c r="E525" i="2"/>
  <c r="H525" i="2" s="1"/>
  <c r="E526" i="2"/>
  <c r="H526" i="2" s="1"/>
  <c r="E523" i="2"/>
  <c r="H523" i="2" s="1"/>
  <c r="E516" i="2"/>
  <c r="H516" i="2" s="1"/>
  <c r="E517" i="2"/>
  <c r="H517" i="2" s="1"/>
  <c r="E518" i="2"/>
  <c r="H518" i="2" s="1"/>
  <c r="E519" i="2"/>
  <c r="H519" i="2" s="1"/>
  <c r="E515" i="2"/>
  <c r="H515" i="2" s="1"/>
  <c r="E511" i="2"/>
  <c r="H511" i="2" s="1"/>
  <c r="E512" i="2"/>
  <c r="H512" i="2" s="1"/>
  <c r="E513" i="2"/>
  <c r="H513" i="2" s="1"/>
  <c r="E510" i="2"/>
  <c r="H510" i="2" s="1"/>
  <c r="E508" i="2"/>
  <c r="H508" i="2" s="1"/>
  <c r="E507" i="2"/>
  <c r="H507" i="2" s="1"/>
  <c r="E506" i="2"/>
  <c r="H506" i="2" s="1"/>
  <c r="E505" i="2"/>
  <c r="H505" i="2" s="1"/>
  <c r="E504" i="2"/>
  <c r="H504" i="2" s="1"/>
  <c r="E503" i="2"/>
  <c r="H503" i="2" s="1"/>
  <c r="E502" i="2"/>
  <c r="H502" i="2" s="1"/>
  <c r="E501" i="2"/>
  <c r="H501" i="2" s="1"/>
  <c r="E500" i="2"/>
  <c r="H500" i="2" s="1"/>
  <c r="E499" i="2"/>
  <c r="H499" i="2" s="1"/>
  <c r="E494" i="2"/>
  <c r="H494" i="2" s="1"/>
  <c r="E495" i="2"/>
  <c r="H495" i="2" s="1"/>
  <c r="E493" i="2"/>
  <c r="H493" i="2" s="1"/>
  <c r="E490" i="2"/>
  <c r="H490" i="2" s="1"/>
  <c r="E491" i="2"/>
  <c r="H491" i="2" s="1"/>
  <c r="E489" i="2"/>
  <c r="H489" i="2" s="1"/>
  <c r="E487" i="2"/>
  <c r="H487" i="2" s="1"/>
  <c r="E486" i="2"/>
  <c r="H486" i="2" s="1"/>
  <c r="E485" i="2"/>
  <c r="H485" i="2" s="1"/>
  <c r="E454" i="2"/>
  <c r="H454" i="2" s="1"/>
  <c r="E453" i="2"/>
  <c r="H453" i="2" s="1"/>
  <c r="H419" i="2"/>
  <c r="E309" i="2"/>
  <c r="H309" i="2" s="1"/>
  <c r="E310" i="2"/>
  <c r="H310" i="2" s="1"/>
  <c r="E308" i="2"/>
  <c r="H308" i="2" s="1"/>
  <c r="H314" i="2"/>
  <c r="E284" i="2"/>
  <c r="H284" i="2" s="1"/>
  <c r="E285" i="2"/>
  <c r="H285" i="2" s="1"/>
  <c r="E283" i="2"/>
  <c r="H283" i="2" s="1"/>
  <c r="H276" i="2"/>
  <c r="H257" i="2"/>
  <c r="H260" i="2"/>
  <c r="H261" i="2"/>
  <c r="H266" i="2"/>
  <c r="H267" i="2"/>
  <c r="H268" i="2"/>
  <c r="H269" i="2"/>
  <c r="H270" i="2"/>
  <c r="H271" i="2"/>
  <c r="H272" i="2"/>
  <c r="E265" i="2"/>
  <c r="H265" i="2" s="1"/>
  <c r="E264" i="2"/>
  <c r="H264" i="2" s="1"/>
  <c r="E263" i="2"/>
  <c r="H263" i="2" s="1"/>
  <c r="E262" i="2"/>
  <c r="H262" i="2" s="1"/>
  <c r="E259" i="2"/>
  <c r="H259" i="2" s="1"/>
  <c r="E258" i="2"/>
  <c r="H258" i="2" s="1"/>
  <c r="E256" i="2"/>
  <c r="H256" i="2" s="1"/>
  <c r="H225" i="2"/>
  <c r="E185" i="2"/>
  <c r="H185" i="2" s="1"/>
  <c r="E186" i="2"/>
  <c r="H186" i="2" s="1"/>
  <c r="E184" i="2"/>
  <c r="H184" i="2" s="1"/>
  <c r="E171" i="2"/>
  <c r="H171" i="2" s="1"/>
  <c r="E172" i="2"/>
  <c r="H172" i="2" s="1"/>
  <c r="E173" i="2"/>
  <c r="H173" i="2" s="1"/>
  <c r="E174" i="2"/>
  <c r="H174" i="2" s="1"/>
  <c r="E170" i="2"/>
  <c r="H170" i="2" s="1"/>
  <c r="E168" i="2"/>
  <c r="H168" i="2" s="1"/>
  <c r="E167" i="2"/>
  <c r="H167" i="2" s="1"/>
  <c r="E166" i="2"/>
  <c r="H166" i="2" s="1"/>
  <c r="E165" i="2"/>
  <c r="H165" i="2" s="1"/>
  <c r="E164" i="2"/>
  <c r="H164" i="2" s="1"/>
  <c r="E163" i="2"/>
  <c r="H163" i="2" s="1"/>
  <c r="E162" i="2"/>
  <c r="H162" i="2" s="1"/>
  <c r="E161" i="2"/>
  <c r="H161" i="2" s="1"/>
  <c r="E160" i="2"/>
  <c r="H160" i="2" s="1"/>
  <c r="E159" i="2"/>
  <c r="H159" i="2" s="1"/>
  <c r="E158" i="2"/>
  <c r="H158" i="2" s="1"/>
  <c r="E157" i="2"/>
  <c r="H157" i="2" s="1"/>
  <c r="E156" i="2"/>
  <c r="H156" i="2" s="1"/>
  <c r="E155" i="2"/>
  <c r="H155" i="2" s="1"/>
  <c r="E150" i="2"/>
  <c r="H150" i="2" s="1"/>
  <c r="E151" i="2"/>
  <c r="H151" i="2" s="1"/>
  <c r="E152" i="2"/>
  <c r="H152" i="2" s="1"/>
  <c r="E153" i="2"/>
  <c r="H153" i="2" s="1"/>
  <c r="E149" i="2"/>
  <c r="H149" i="2" s="1"/>
  <c r="E54" i="2"/>
  <c r="H54" i="2" s="1"/>
  <c r="E55" i="2"/>
  <c r="H55" i="2" s="1"/>
  <c r="E53" i="2"/>
  <c r="H53" i="2" s="1"/>
  <c r="E41" i="2"/>
  <c r="H41" i="2" s="1"/>
  <c r="E40" i="2"/>
  <c r="H40" i="2" s="1"/>
  <c r="E39" i="2"/>
  <c r="H39" i="2" s="1"/>
  <c r="E38" i="2"/>
  <c r="H38" i="2" s="1"/>
  <c r="E22" i="2"/>
  <c r="H22" i="2" s="1"/>
  <c r="E23" i="2"/>
  <c r="H23" i="2" s="1"/>
  <c r="E21" i="2"/>
  <c r="H21" i="2" s="1"/>
  <c r="E19" i="2"/>
  <c r="H19" i="2" s="1"/>
  <c r="E18" i="2"/>
  <c r="H18" i="2" s="1"/>
  <c r="E17" i="2"/>
  <c r="H17" i="2" s="1"/>
  <c r="K3051" i="2"/>
  <c r="L3051" i="2"/>
  <c r="M3051" i="2"/>
  <c r="N3051" i="2"/>
  <c r="O3051" i="2"/>
  <c r="P3051" i="2"/>
  <c r="Q3051" i="2"/>
  <c r="R3051" i="2"/>
  <c r="S3051" i="2"/>
  <c r="T3051" i="2"/>
  <c r="U3051" i="2"/>
  <c r="J3051" i="2"/>
  <c r="H2470" i="2" l="1"/>
  <c r="H2360" i="2"/>
  <c r="H1944" i="2"/>
  <c r="H1881" i="2"/>
  <c r="H1609" i="2"/>
  <c r="H1563" i="2"/>
  <c r="H1022" i="2" l="1"/>
  <c r="H871" i="2"/>
  <c r="H181" i="2" l="1"/>
  <c r="H14" i="2"/>
  <c r="H3051" i="2" l="1"/>
  <c r="H2908" i="2"/>
  <c r="H2907" i="2"/>
  <c r="H2906" i="2"/>
  <c r="H2905" i="2"/>
  <c r="H2904" i="2"/>
  <c r="H2903" i="2"/>
  <c r="H3034" i="2" l="1"/>
  <c r="H3003" i="2"/>
  <c r="H3024" i="2"/>
  <c r="H3025" i="2"/>
  <c r="H3026" i="2"/>
  <c r="H3027" i="2"/>
  <c r="H3022" i="2"/>
  <c r="H3014" i="2"/>
  <c r="H3015" i="2"/>
  <c r="H3016" i="2"/>
  <c r="H3017" i="2"/>
  <c r="H3018" i="2"/>
  <c r="H3013" i="2"/>
  <c r="H2757" i="2"/>
  <c r="H2129" i="2"/>
  <c r="H2836" i="2"/>
  <c r="H2837" i="2"/>
  <c r="H2835" i="2"/>
  <c r="H2117" i="2"/>
  <c r="H2116" i="2"/>
  <c r="H2669" i="2"/>
  <c r="H2642" i="2"/>
  <c r="H2643" i="2"/>
  <c r="H2644" i="2"/>
  <c r="H2645" i="2"/>
  <c r="H2646" i="2"/>
  <c r="H2647" i="2"/>
  <c r="H2648" i="2"/>
  <c r="H2649" i="2"/>
  <c r="H2641" i="2"/>
  <c r="H2302" i="2"/>
  <c r="H2303" i="2"/>
  <c r="H2301" i="2"/>
  <c r="H2482" i="2"/>
  <c r="H2483" i="2"/>
  <c r="H2484" i="2"/>
  <c r="H2485" i="2"/>
  <c r="H2486" i="2"/>
  <c r="H2487" i="2"/>
  <c r="H2488" i="2"/>
  <c r="H2489" i="2"/>
  <c r="H2481" i="2"/>
  <c r="H2197" i="2"/>
  <c r="H2198" i="2"/>
  <c r="H2199" i="2"/>
  <c r="H2196" i="2"/>
  <c r="G2453" i="2"/>
  <c r="H2453" i="2" s="1"/>
  <c r="H2434" i="2"/>
  <c r="H2427" i="2"/>
  <c r="H2424" i="2"/>
  <c r="H2423" i="2"/>
  <c r="H2419" i="2"/>
  <c r="H2412" i="2"/>
  <c r="H2863" i="2"/>
  <c r="H2864" i="2"/>
  <c r="H2865" i="2"/>
  <c r="H2404" i="2"/>
  <c r="H2405" i="2"/>
  <c r="H2406" i="2"/>
  <c r="H2407" i="2"/>
  <c r="H2408" i="2"/>
  <c r="H2403" i="2"/>
  <c r="H2395" i="2"/>
  <c r="H2396" i="2"/>
  <c r="H2397" i="2"/>
  <c r="H2398" i="2"/>
  <c r="H2399" i="2"/>
  <c r="H2394" i="2"/>
  <c r="H2674" i="2"/>
  <c r="H2391" i="2"/>
  <c r="H2387" i="2"/>
  <c r="H2365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661" i="2"/>
  <c r="H1662" i="2"/>
  <c r="H2219" i="2"/>
  <c r="H2220" i="2"/>
  <c r="H2221" i="2"/>
  <c r="H2218" i="2"/>
  <c r="H2122" i="2"/>
  <c r="H2123" i="2"/>
  <c r="H2124" i="2"/>
  <c r="H2125" i="2"/>
  <c r="H2126" i="2"/>
  <c r="H2121" i="2"/>
  <c r="H1079" i="2"/>
  <c r="H1080" i="2"/>
  <c r="H1081" i="2"/>
  <c r="H1082" i="2"/>
  <c r="H1083" i="2"/>
  <c r="H1084" i="2"/>
  <c r="H1078" i="2"/>
  <c r="H2368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50" i="2"/>
  <c r="H1009" i="2"/>
  <c r="H1010" i="2"/>
  <c r="H1011" i="2"/>
  <c r="H2557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2" i="2"/>
  <c r="H2283" i="2"/>
  <c r="H2266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005" i="2"/>
  <c r="H1004" i="2"/>
  <c r="H2377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01" i="2"/>
  <c r="H999" i="2"/>
  <c r="H1000" i="2"/>
  <c r="H1001" i="2"/>
  <c r="H998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63" i="2"/>
  <c r="H993" i="2"/>
  <c r="H994" i="2"/>
  <c r="H995" i="2"/>
  <c r="H992" i="2"/>
  <c r="H2243" i="2"/>
  <c r="H2242" i="2"/>
  <c r="H985" i="2"/>
  <c r="H986" i="2"/>
  <c r="H984" i="2"/>
  <c r="H1070" i="2"/>
  <c r="H1071" i="2"/>
  <c r="H981" i="2"/>
  <c r="H98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975" i="2"/>
  <c r="H976" i="2"/>
  <c r="H977" i="2"/>
  <c r="H974" i="2"/>
  <c r="H970" i="2"/>
  <c r="H971" i="2"/>
  <c r="H969" i="2"/>
  <c r="H1974" i="2"/>
  <c r="H1975" i="2"/>
  <c r="H1976" i="2"/>
  <c r="H1977" i="2"/>
  <c r="H1978" i="2"/>
  <c r="H1979" i="2"/>
  <c r="H1980" i="2"/>
  <c r="H1981" i="2"/>
  <c r="H1982" i="2"/>
  <c r="H1983" i="2"/>
  <c r="H1973" i="2"/>
  <c r="H1898" i="2"/>
  <c r="H2362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964" i="2"/>
  <c r="H965" i="2"/>
  <c r="H966" i="2"/>
  <c r="H963" i="2"/>
  <c r="H1947" i="2"/>
  <c r="H1948" i="2"/>
  <c r="H1949" i="2"/>
  <c r="H1950" i="2"/>
  <c r="H1946" i="2"/>
  <c r="H1905" i="2"/>
  <c r="H1906" i="2"/>
  <c r="H1904" i="2"/>
  <c r="H1135" i="2"/>
  <c r="H1136" i="2"/>
  <c r="H1137" i="2"/>
  <c r="H1138" i="2"/>
  <c r="H1139" i="2"/>
  <c r="H1140" i="2"/>
  <c r="H1134" i="2"/>
  <c r="H960" i="2"/>
  <c r="H959" i="2"/>
  <c r="H2003" i="2" l="1"/>
  <c r="H2002" i="2"/>
  <c r="H933" i="2"/>
  <c r="H934" i="2"/>
  <c r="H935" i="2"/>
  <c r="H932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2371" i="2" l="1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904" i="2"/>
  <c r="H905" i="2"/>
  <c r="H906" i="2"/>
  <c r="H903" i="2"/>
  <c r="H900" i="2"/>
  <c r="H899" i="2"/>
  <c r="H2287" i="2"/>
  <c r="H2288" i="2"/>
  <c r="H2289" i="2"/>
  <c r="H2290" i="2"/>
  <c r="H2291" i="2"/>
  <c r="H2292" i="2"/>
  <c r="H2286" i="2"/>
  <c r="H1243" i="2"/>
  <c r="H1244" i="2"/>
  <c r="H1245" i="2"/>
  <c r="H1246" i="2"/>
  <c r="H1247" i="2"/>
  <c r="H1248" i="2"/>
  <c r="H891" i="2"/>
  <c r="H892" i="2"/>
  <c r="H893" i="2"/>
  <c r="H894" i="2"/>
  <c r="H895" i="2"/>
  <c r="H890" i="2"/>
  <c r="H2515" i="2"/>
  <c r="H2514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887" i="2" l="1"/>
  <c r="H1915" i="2"/>
  <c r="H1916" i="2"/>
  <c r="H1917" i="2"/>
  <c r="H1918" i="2"/>
  <c r="H1372" i="2"/>
  <c r="H1373" i="2"/>
  <c r="H1374" i="2"/>
  <c r="H1375" i="2"/>
  <c r="H1376" i="2"/>
  <c r="H1377" i="2"/>
  <c r="H1378" i="2"/>
  <c r="H874" i="2"/>
  <c r="H875" i="2"/>
  <c r="H876" i="2"/>
  <c r="H877" i="2"/>
  <c r="H878" i="2"/>
  <c r="H879" i="2"/>
  <c r="H880" i="2"/>
  <c r="H881" i="2"/>
  <c r="I881" i="2" s="1"/>
  <c r="H882" i="2"/>
  <c r="H873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6" i="2"/>
  <c r="H867" i="2"/>
  <c r="H868" i="2"/>
  <c r="H869" i="2"/>
  <c r="H800" i="2"/>
  <c r="H756" i="2"/>
  <c r="H760" i="2"/>
  <c r="H752" i="2"/>
  <c r="H753" i="2"/>
  <c r="H758" i="2"/>
  <c r="H754" i="2"/>
  <c r="H755" i="2"/>
  <c r="H751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681" i="2"/>
  <c r="H682" i="2"/>
  <c r="H684" i="2"/>
  <c r="H686" i="2"/>
  <c r="H687" i="2"/>
  <c r="H689" i="2"/>
  <c r="H690" i="2"/>
  <c r="H691" i="2"/>
  <c r="H692" i="2"/>
  <c r="H680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61" i="2"/>
  <c r="H796" i="2" l="1"/>
  <c r="H795" i="2"/>
  <c r="H793" i="2"/>
  <c r="H792" i="2"/>
  <c r="H791" i="2"/>
  <c r="H790" i="2"/>
  <c r="H789" i="2"/>
  <c r="H788" i="2"/>
  <c r="H734" i="2"/>
  <c r="H733" i="2"/>
  <c r="H732" i="2"/>
  <c r="H730" i="2"/>
  <c r="H729" i="2"/>
  <c r="H728" i="2"/>
  <c r="H727" i="2"/>
  <c r="H726" i="2"/>
  <c r="H725" i="2"/>
  <c r="H724" i="2"/>
  <c r="H723" i="2"/>
  <c r="H722" i="2"/>
  <c r="H720" i="2"/>
  <c r="H719" i="2"/>
  <c r="H718" i="2"/>
  <c r="H717" i="2"/>
  <c r="H716" i="2"/>
  <c r="H715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07" i="2"/>
  <c r="H606" i="2"/>
  <c r="H605" i="2"/>
  <c r="H604" i="2"/>
  <c r="H603" i="2"/>
  <c r="H602" i="2"/>
  <c r="H601" i="2"/>
  <c r="H600" i="2"/>
  <c r="H599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6" i="2"/>
  <c r="H462" i="2"/>
  <c r="H461" i="2"/>
  <c r="H460" i="2"/>
  <c r="H459" i="2"/>
  <c r="H458" i="2"/>
  <c r="H457" i="2"/>
  <c r="H456" i="2"/>
  <c r="H451" i="2"/>
  <c r="H450" i="2"/>
  <c r="H449" i="2"/>
  <c r="H447" i="2"/>
  <c r="H446" i="2"/>
  <c r="H445" i="2"/>
  <c r="H444" i="2"/>
  <c r="H443" i="2"/>
  <c r="H442" i="2"/>
  <c r="H441" i="2"/>
  <c r="H437" i="2"/>
  <c r="H435" i="2"/>
  <c r="H434" i="2"/>
  <c r="H433" i="2"/>
  <c r="H432" i="2"/>
  <c r="H430" i="2"/>
  <c r="H429" i="2"/>
  <c r="H428" i="2"/>
  <c r="H427" i="2"/>
  <c r="H426" i="2"/>
  <c r="H425" i="2"/>
  <c r="H424" i="2"/>
  <c r="H423" i="2"/>
  <c r="H422" i="2"/>
  <c r="H421" i="2"/>
  <c r="H420" i="2"/>
  <c r="H351" i="2"/>
  <c r="H350" i="2"/>
  <c r="H348" i="2"/>
  <c r="H347" i="2"/>
  <c r="H346" i="2"/>
  <c r="H345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2" i="2"/>
  <c r="H281" i="2"/>
  <c r="H280" i="2"/>
  <c r="H279" i="2"/>
  <c r="H278" i="2"/>
  <c r="H277" i="2"/>
  <c r="E252" i="2"/>
  <c r="H252" i="2" s="1"/>
  <c r="E251" i="2"/>
  <c r="H251" i="2" s="1"/>
  <c r="E250" i="2"/>
  <c r="H250" i="2" s="1"/>
  <c r="H248" i="2"/>
  <c r="H247" i="2"/>
  <c r="H246" i="2"/>
  <c r="E244" i="2"/>
  <c r="H244" i="2" s="1"/>
  <c r="E243" i="2"/>
  <c r="H243" i="2" s="1"/>
  <c r="E241" i="2"/>
  <c r="H241" i="2" s="1"/>
  <c r="E240" i="2"/>
  <c r="H240" i="2" s="1"/>
  <c r="E238" i="2"/>
  <c r="H238" i="2" s="1"/>
  <c r="E237" i="2"/>
  <c r="H237" i="2" s="1"/>
  <c r="E236" i="2"/>
  <c r="H236" i="2" s="1"/>
  <c r="E235" i="2"/>
  <c r="H235" i="2" s="1"/>
  <c r="E234" i="2"/>
  <c r="H234" i="2" s="1"/>
  <c r="H232" i="2"/>
  <c r="H228" i="2"/>
  <c r="H227" i="2"/>
  <c r="H224" i="2"/>
  <c r="H223" i="2"/>
  <c r="H219" i="2"/>
  <c r="H218" i="2"/>
  <c r="H217" i="2"/>
  <c r="H216" i="2"/>
  <c r="H215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8" i="2"/>
  <c r="H197" i="2"/>
  <c r="H196" i="2"/>
  <c r="H195" i="2"/>
  <c r="H194" i="2"/>
  <c r="H190" i="2"/>
  <c r="H189" i="2"/>
  <c r="H188" i="2"/>
  <c r="H88" i="2"/>
  <c r="H87" i="2"/>
  <c r="H86" i="2"/>
  <c r="H85" i="2"/>
  <c r="H84" i="2"/>
  <c r="H83" i="2"/>
  <c r="H82" i="2"/>
  <c r="H81" i="2"/>
  <c r="H80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H61" i="2"/>
  <c r="H60" i="2"/>
  <c r="H59" i="2"/>
  <c r="H58" i="2"/>
  <c r="H57" i="2"/>
  <c r="H49" i="2"/>
  <c r="H48" i="2"/>
  <c r="H47" i="2"/>
  <c r="H45" i="2"/>
  <c r="H44" i="2"/>
  <c r="H43" i="2"/>
  <c r="H36" i="2"/>
  <c r="H35" i="2"/>
  <c r="H34" i="2"/>
  <c r="H33" i="2"/>
  <c r="H32" i="2"/>
  <c r="H31" i="2"/>
  <c r="H30" i="2"/>
  <c r="H29" i="2"/>
  <c r="H28" i="2"/>
  <c r="H27" i="2"/>
  <c r="H26" i="2"/>
  <c r="H25" i="2"/>
  <c r="H179" i="2"/>
  <c r="H178" i="2"/>
  <c r="H177" i="2"/>
  <c r="H176" i="2"/>
</calcChain>
</file>

<file path=xl/sharedStrings.xml><?xml version="1.0" encoding="utf-8"?>
<sst xmlns="http://schemas.openxmlformats.org/spreadsheetml/2006/main" count="7419" uniqueCount="1550">
  <si>
    <t>HEADQUARTERS</t>
  </si>
  <si>
    <t>Project Procurement Management Plan (PPMP) CY 2024</t>
  </si>
  <si>
    <t>END USER: -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</si>
  <si>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</si>
  <si>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</si>
  <si>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</si>
  <si>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</si>
  <si>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</si>
  <si>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</si>
  <si>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</si>
  <si>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</si>
  <si>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</si>
  <si>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</si>
  <si>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</si>
  <si>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</si>
  <si>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</si>
  <si>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</si>
  <si>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</si>
  <si>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</si>
  <si>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</si>
  <si>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</si>
  <si>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</si>
  <si>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</si>
  <si>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</si>
  <si>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</si>
  <si>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</si>
  <si>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HPA</t>
  </si>
  <si>
    <t>OG1</t>
  </si>
  <si>
    <t>lot</t>
  </si>
  <si>
    <t>IPPMS: Strengthening the Social Skills in the Workplace</t>
  </si>
  <si>
    <t>Gender Peace and Security Cascading</t>
  </si>
  <si>
    <t>Lot</t>
  </si>
  <si>
    <t>Participatory Gender Audit</t>
  </si>
  <si>
    <t>OCC &amp; PMA New 2LTs Pre-Deployment Program Activities for CY 2024</t>
  </si>
  <si>
    <t>UN Battalion Selection and Screening Committee</t>
  </si>
  <si>
    <t>Recruitment of Candidate Soldiers</t>
  </si>
  <si>
    <t>PA Special Enlistment Board (PASEB) for CY 2024</t>
  </si>
  <si>
    <t>pax</t>
  </si>
  <si>
    <t>PA NP Screening and Evaluation for CS Recruitment</t>
  </si>
  <si>
    <t>IPMIS Sustainment</t>
  </si>
  <si>
    <t>Personnel Readiness Information System</t>
  </si>
  <si>
    <t>PA Civilian Senior Leader Summit</t>
  </si>
  <si>
    <t>Support to OCC-ROTC Program Admission Board and OCC-ROTC Processing</t>
  </si>
  <si>
    <t>PABSO Activities</t>
  </si>
  <si>
    <t>Officer Recruitment</t>
  </si>
  <si>
    <t>Competency Development and Competency-Based Job Description Sustainment</t>
  </si>
  <si>
    <t>Support to PA Officer Admission Board (PAOAB) for CY 2024</t>
  </si>
  <si>
    <t>Skills-Based Promotion System</t>
  </si>
  <si>
    <t>Support to PA GAD Pool of Trainers</t>
  </si>
  <si>
    <t>IDSE - Related Activities</t>
  </si>
  <si>
    <t>5-02-02-010-01</t>
  </si>
  <si>
    <t>ICT Training Expenses</t>
  </si>
  <si>
    <t>Negotiated 53.9</t>
  </si>
  <si>
    <t>Sustainment of PAHRMIS</t>
  </si>
  <si>
    <t>Meals and Snacks</t>
  </si>
  <si>
    <t>Office Supplies</t>
  </si>
  <si>
    <t>ICT Office Supplies</t>
  </si>
  <si>
    <t>Semi-Expendible ICT Equipment</t>
  </si>
  <si>
    <t>Training Requirements</t>
  </si>
  <si>
    <t>GAD-MIS Sustainment Training for PAMUs</t>
  </si>
  <si>
    <t>PA Civilian Human Resource Information System Development</t>
  </si>
  <si>
    <t>5-02-02-010-02</t>
  </si>
  <si>
    <t>Training Expenses</t>
  </si>
  <si>
    <t>Salaknib</t>
  </si>
  <si>
    <t>Hosting the AFP-HRMOs Cluster Conference</t>
  </si>
  <si>
    <t>Human Resource Management Workshop/Conference/Seminar</t>
  </si>
  <si>
    <t>Software Subscription</t>
  </si>
  <si>
    <t>Semi-Expendable ICT Equipment</t>
  </si>
  <si>
    <t>Integrating Competencies into HR Systems &amp; Processes (ICHRSP)</t>
  </si>
  <si>
    <t>Enhancement and Maintenance of DLO Info System V2</t>
  </si>
  <si>
    <t>Mobile Expense</t>
  </si>
  <si>
    <t>Other Supplies</t>
  </si>
  <si>
    <t>Operationalization of 11ID (Processing Requirements)</t>
  </si>
  <si>
    <t>PA-Wide GAD Forum</t>
  </si>
  <si>
    <t>Career and Specialization Courses</t>
  </si>
  <si>
    <t>Drug &amp; Medicines</t>
  </si>
  <si>
    <t>PMT Programs Review/Workshop</t>
  </si>
  <si>
    <t>Printing and Publication</t>
  </si>
  <si>
    <t>HRDC</t>
  </si>
  <si>
    <t>APB Workshop with Offices &amp; Units under OG1 Supervision</t>
  </si>
  <si>
    <t>ICT Software Subscription</t>
  </si>
  <si>
    <t>Launching of PA GAD Webinar for GFPS</t>
  </si>
  <si>
    <t>GAD Research and GAD Analysis (Policy Review and Crafting)</t>
  </si>
  <si>
    <t>Admin Requirements</t>
  </si>
  <si>
    <t>PA Strength Rationalization Workshop</t>
  </si>
  <si>
    <t>Civilian Human Resource Enhancement of Competency</t>
  </si>
  <si>
    <t>Civilian HR Recruitment and Promotion</t>
  </si>
  <si>
    <t>Civilian Human Resource Data Collection and Preservation</t>
  </si>
  <si>
    <t>PA Comprehensive Mental Health Program</t>
  </si>
  <si>
    <t>PA MOVE Chapter Activities</t>
  </si>
  <si>
    <t>Mandatory Continuing Legal Education (MCLE) and Other DLO Training Programs</t>
  </si>
  <si>
    <t>5-02-03-010-01</t>
  </si>
  <si>
    <t>ICT Office Supplies Expenses</t>
  </si>
  <si>
    <t>Negotiated 53.5</t>
  </si>
  <si>
    <t>PA Schooling Board Requirements</t>
  </si>
  <si>
    <t>Special Investigation</t>
  </si>
  <si>
    <t>Personnel Satisfaction Survey</t>
  </si>
  <si>
    <t>PAMU Pre-Trial Investigation and Support to TJA's and MDC's</t>
  </si>
  <si>
    <t>PAESB Deliberation and Administration</t>
  </si>
  <si>
    <t>Medical Board (Officer Recruitment)</t>
  </si>
  <si>
    <t>Faculty Development Student Performance Standard Committee</t>
  </si>
  <si>
    <t>Sustainment of Recruitment Centralized Database System</t>
  </si>
  <si>
    <t>PAMU GCM Administration and Support</t>
  </si>
  <si>
    <t>PAESB and Court Martial Assessment &amp; Evaluation</t>
  </si>
  <si>
    <t>Cellcard</t>
  </si>
  <si>
    <t>Military and Uniformed Personnel Pension Reform</t>
  </si>
  <si>
    <t>AFPCGSC Screening Process Requirements for Class 76-2024 &amp; 77-2025</t>
  </si>
  <si>
    <t>HPA GCM Administration and Support</t>
  </si>
  <si>
    <t>Validation of Performance-Based Bonus</t>
  </si>
  <si>
    <t>Student Performance Standard (SPS) Committee Requirements</t>
  </si>
  <si>
    <t>HPA Pre-Trial Investigation</t>
  </si>
  <si>
    <t>5-02-03-010-02</t>
  </si>
  <si>
    <t>Office Supplies Expenses</t>
  </si>
  <si>
    <t>PA GAD Focal Point System (Execom, TWG and Secretariats) Meeting/Conference/Activities</t>
  </si>
  <si>
    <t>PA UN Selection Committee</t>
  </si>
  <si>
    <t>Support to Collateral Entitlement Review Board</t>
  </si>
  <si>
    <t>Support to Hazardous Duty Pay Board</t>
  </si>
  <si>
    <t>5-02-03-070-00</t>
  </si>
  <si>
    <t>Drugs and Medicines Expenses</t>
  </si>
  <si>
    <t>Drugs and Medicines</t>
  </si>
  <si>
    <t>Procurement of Drugs and Medicines</t>
  </si>
  <si>
    <t>5-02-03-080-00</t>
  </si>
  <si>
    <t>Medical, Dental and Laboratory Supplies Expenses</t>
  </si>
  <si>
    <t>Competitive Bidding (Public Bidding)</t>
  </si>
  <si>
    <t>Procurement of Individual First Aid Kit (IFAK)</t>
  </si>
  <si>
    <t>Procurement of IFAK</t>
  </si>
  <si>
    <t>UN Peacekeeping Operation Capability Development Program</t>
  </si>
  <si>
    <t>Individual First Aid Kit (IFAK)</t>
  </si>
  <si>
    <t>set</t>
  </si>
  <si>
    <t>Combat Life Saver Kit (CLS)</t>
  </si>
  <si>
    <t>Combat Medical Aidman's Kit</t>
  </si>
  <si>
    <t>Medical, Dental and Laboratory Supplies</t>
  </si>
  <si>
    <t>Additional Physical Exams for PA Personnel (Mammogram &amp; PSE)</t>
  </si>
  <si>
    <t>Procurement of Medical and Dental Supplies</t>
  </si>
  <si>
    <t>PME for UN  Contingents</t>
  </si>
  <si>
    <t>PA Personnel Physical Medical and Dental Examination</t>
  </si>
  <si>
    <t>5-02-03-210-03</t>
  </si>
  <si>
    <t>Semi-Expendable - Information and Communications Technology Equipment</t>
  </si>
  <si>
    <t>5-02-03-210-10</t>
  </si>
  <si>
    <t>Semi-Expendable - Medical Equipment</t>
  </si>
  <si>
    <t>Semi-Expendable Medical Equipment</t>
  </si>
  <si>
    <t>5-02-03-990-00</t>
  </si>
  <si>
    <t>Other Supplies and Materials Expenses</t>
  </si>
  <si>
    <t>Funeral Support</t>
  </si>
  <si>
    <t>Wreath</t>
  </si>
  <si>
    <t>pc</t>
  </si>
  <si>
    <t>Mass Card</t>
  </si>
  <si>
    <t>Support to Performing Units</t>
  </si>
  <si>
    <t>Grocery Package</t>
  </si>
  <si>
    <t>Tarpaulin</t>
  </si>
  <si>
    <t>Civilian HR Summer Sports Activities</t>
  </si>
  <si>
    <t>Dry Fir T-Shirt</t>
  </si>
  <si>
    <t>pcs</t>
  </si>
  <si>
    <t>Dry Fit Shirts with Collar</t>
  </si>
  <si>
    <t>Dry Fit Shirt without Collar</t>
  </si>
  <si>
    <t>Cauldron</t>
  </si>
  <si>
    <t>Team Banner</t>
  </si>
  <si>
    <t>Exit Call of Retiring Generals</t>
  </si>
  <si>
    <t>Medallion</t>
  </si>
  <si>
    <t>Shaul with Pin</t>
  </si>
  <si>
    <t>New Year's Call to CGPA</t>
  </si>
  <si>
    <t>Floral Centerpiece</t>
  </si>
  <si>
    <t>Personalized Mug</t>
  </si>
  <si>
    <t>Donning of Ranks</t>
  </si>
  <si>
    <t>Rank Insignia</t>
  </si>
  <si>
    <t>Battle of the Generals</t>
  </si>
  <si>
    <t>Trophy</t>
  </si>
  <si>
    <t>Tumblers</t>
  </si>
  <si>
    <t>OCC Reception</t>
  </si>
  <si>
    <t>Retirement Ceremony of O-6</t>
  </si>
  <si>
    <t>Plaques</t>
  </si>
  <si>
    <t>Brass Plates</t>
  </si>
  <si>
    <t>Flag Encased</t>
  </si>
  <si>
    <t>PRIME-HRM Accreditation of Learning and Development and Performance Management</t>
  </si>
  <si>
    <t>Civilian Human Resource Retirement Ceremony</t>
  </si>
  <si>
    <t>Token to  Retirees</t>
  </si>
  <si>
    <t>Frame for Honorable Service Certificate</t>
  </si>
  <si>
    <t>Commemoration of the Philippine Civil Service Anniversary</t>
  </si>
  <si>
    <t>CSC Gold Pins</t>
  </si>
  <si>
    <t>Plaques (for Masters &amp; Doctorate Degree Holder)</t>
  </si>
  <si>
    <t>Support to Wounded-in-Action</t>
  </si>
  <si>
    <t>pack</t>
  </si>
  <si>
    <t>Patient's Uniform</t>
  </si>
  <si>
    <t>Support to PA-NP Team Screening Process for Officer Candidates- NP Materials</t>
  </si>
  <si>
    <t>NP Testing Materials</t>
  </si>
  <si>
    <t>Oath-taking of Newly Promoted Generals and CAll to CGPA</t>
  </si>
  <si>
    <t>Testimonial Ceremony for Retiring EP Key Positions</t>
  </si>
  <si>
    <t>Notebooks</t>
  </si>
  <si>
    <t>Retirement Activities of Retiring Generals</t>
  </si>
  <si>
    <t>Medal Gallery</t>
  </si>
  <si>
    <t>Plates</t>
  </si>
  <si>
    <t>PMA Reception Graduates</t>
  </si>
  <si>
    <t>5-02-05-020-01</t>
  </si>
  <si>
    <t>Telephone Expense - Mobile</t>
  </si>
  <si>
    <t>5-02-05-030-00</t>
  </si>
  <si>
    <t>Internet Subscription Expenses</t>
  </si>
  <si>
    <t>5-02-06-010-01</t>
  </si>
  <si>
    <t>Awards/Rewards Expenses</t>
  </si>
  <si>
    <t>Cash Award</t>
  </si>
  <si>
    <t>Awarding of Model Employee and Model Supervisor during PA Anniversary</t>
  </si>
  <si>
    <t>5-02-06-020-00</t>
  </si>
  <si>
    <t>Prizes</t>
  </si>
  <si>
    <t>5-02-11-010-00</t>
  </si>
  <si>
    <t>Legal Services</t>
  </si>
  <si>
    <t>Negotiated 53.7</t>
  </si>
  <si>
    <t>Legal Support</t>
  </si>
  <si>
    <t>Salary of Legal Retainers</t>
  </si>
  <si>
    <t>Payment for the Services of Legal Retainers</t>
  </si>
  <si>
    <t>5-02-11-030-02</t>
  </si>
  <si>
    <t>Consultancy Services</t>
  </si>
  <si>
    <t>Direct Contracting</t>
  </si>
  <si>
    <t>Operationalization and Maintenance of GBV Desk</t>
  </si>
  <si>
    <t>5-02-11-990-00</t>
  </si>
  <si>
    <t>Other Professional Services</t>
  </si>
  <si>
    <t>Salary of Medical and Dental Retainers</t>
  </si>
  <si>
    <t>Payment for the Services of Medical and Dental Retainers</t>
  </si>
  <si>
    <t>5-02-13-050-11</t>
  </si>
  <si>
    <t>R&amp;M - Medical Equipment</t>
  </si>
  <si>
    <t>Repair and Maintenance of Medical Equipment</t>
  </si>
  <si>
    <t>5-02-15-020-00</t>
  </si>
  <si>
    <t>Fidelity Bond Premiums</t>
  </si>
  <si>
    <t>Fidelity Bond Premium</t>
  </si>
  <si>
    <t>5-02-99-030-00</t>
  </si>
  <si>
    <t>Representation Expenses</t>
  </si>
  <si>
    <t>Yuletide Celebration</t>
  </si>
  <si>
    <t>Meals and Snack</t>
  </si>
  <si>
    <t>PASB Seminar</t>
  </si>
  <si>
    <t>Confirmation of Generals and Senior Officers/CA Hearing</t>
  </si>
  <si>
    <t>Meals and Supplies</t>
  </si>
  <si>
    <t>PA TAS Selection Committee and Placement Workshop</t>
  </si>
  <si>
    <t>Meals &amp; Snacks</t>
  </si>
  <si>
    <t>Meals ad Snacks</t>
  </si>
  <si>
    <t>GAD Training for ROTC/RESERVIST Administrators</t>
  </si>
  <si>
    <t>Civilian Human Resource Boards (PRIME HRM Boards)</t>
  </si>
  <si>
    <t>AFPBOG Meeting</t>
  </si>
  <si>
    <t>Meals and nacks</t>
  </si>
  <si>
    <t>HR Planning for DBM Staffing Modification Phase 2</t>
  </si>
  <si>
    <t>PA GAD Accomplishment Report Deliberation</t>
  </si>
  <si>
    <t>Recognition of PA Athletes</t>
  </si>
  <si>
    <t>Quarterly DLO Conference with CS, PA</t>
  </si>
  <si>
    <t>MNSA Graduates Reassignment Committee</t>
  </si>
  <si>
    <t>5-02-99-050-01</t>
  </si>
  <si>
    <t>5-02-99-070-01</t>
  </si>
  <si>
    <t>TOTAL</t>
  </si>
  <si>
    <t>Prepared By:</t>
  </si>
  <si>
    <t>Approved By:</t>
  </si>
  <si>
    <t>Snacks (AM)</t>
  </si>
  <si>
    <t>Lunch</t>
  </si>
  <si>
    <t>Notepad</t>
  </si>
  <si>
    <t>Sign Pens (Blue)</t>
  </si>
  <si>
    <t>Sign Pens (Black)</t>
  </si>
  <si>
    <t>White Board Markers</t>
  </si>
  <si>
    <t>Permanent Markers</t>
  </si>
  <si>
    <t>Erasers</t>
  </si>
  <si>
    <t>Specialty Paper</t>
  </si>
  <si>
    <t>Long Green Folder</t>
  </si>
  <si>
    <t>Laminating Sheets-A4</t>
  </si>
  <si>
    <t>Photo Paper Double Sided A4</t>
  </si>
  <si>
    <t>A4 Bond Papers</t>
  </si>
  <si>
    <t>Brown Envelop A4</t>
  </si>
  <si>
    <t>Masking Tape</t>
  </si>
  <si>
    <t>Correction Tape</t>
  </si>
  <si>
    <t>box</t>
  </si>
  <si>
    <t xml:space="preserve">Breakfast </t>
  </si>
  <si>
    <t xml:space="preserve">Lunch  </t>
  </si>
  <si>
    <t xml:space="preserve">Snacks (PM) </t>
  </si>
  <si>
    <t xml:space="preserve">Dinner  </t>
  </si>
  <si>
    <t xml:space="preserve">Office Supplies </t>
  </si>
  <si>
    <t>Ink Cyan</t>
  </si>
  <si>
    <t>Ink Magenta</t>
  </si>
  <si>
    <t>Ink Yellow</t>
  </si>
  <si>
    <t>Ink Black</t>
  </si>
  <si>
    <t>Flash Drive</t>
  </si>
  <si>
    <t>Meals and Snacks (2 Days)</t>
  </si>
  <si>
    <t>Sticky Note</t>
  </si>
  <si>
    <t>Transparency Film</t>
  </si>
  <si>
    <t>Sign Pen</t>
  </si>
  <si>
    <t>Special Paper</t>
  </si>
  <si>
    <t>Ballpen</t>
  </si>
  <si>
    <t>Folder</t>
  </si>
  <si>
    <t>File folder</t>
  </si>
  <si>
    <t>Certificate Frame</t>
  </si>
  <si>
    <t>Certificate holder</t>
  </si>
  <si>
    <t>Sign here sticker</t>
  </si>
  <si>
    <t>Ring bind element 1"</t>
  </si>
  <si>
    <t>Clip binder</t>
  </si>
  <si>
    <t>Office Supplies (HPA)</t>
  </si>
  <si>
    <t>Ball Pen</t>
  </si>
  <si>
    <t>A4 Bond Paper</t>
  </si>
  <si>
    <t>Ink (all colors)</t>
  </si>
  <si>
    <t>rms</t>
  </si>
  <si>
    <t>btls</t>
  </si>
  <si>
    <t>Office Supplies (3 PAMUs)</t>
  </si>
  <si>
    <t>Meals and Snacks (2 Days/3 PAMUs)</t>
  </si>
  <si>
    <t>External Drive 1TB</t>
  </si>
  <si>
    <t>HDMI</t>
  </si>
  <si>
    <t>Ink Printer</t>
  </si>
  <si>
    <t>Prime Motherboard H310ME</t>
  </si>
  <si>
    <t>Monitor AOC E97SWn 18.5 VGA</t>
  </si>
  <si>
    <t>Memory 8GB DDR 2666</t>
  </si>
  <si>
    <t>ea</t>
  </si>
  <si>
    <t>Meals and Snacks (3 Days/HPA)</t>
  </si>
  <si>
    <t>PM Snacks</t>
  </si>
  <si>
    <t>AM Snacks (5 days/ 2 Occasions)</t>
  </si>
  <si>
    <t>Special Papers for Certificates</t>
  </si>
  <si>
    <t>Brown Envelope short</t>
  </si>
  <si>
    <t>Pad Paper</t>
  </si>
  <si>
    <t>Photo paper</t>
  </si>
  <si>
    <t>Notepads</t>
  </si>
  <si>
    <t>packs</t>
  </si>
  <si>
    <t>pads</t>
  </si>
  <si>
    <t>Production Server</t>
  </si>
  <si>
    <t>PRIMA SERVER</t>
  </si>
  <si>
    <t>Form Factor: 1U Rackmount</t>
  </si>
  <si>
    <t>Chassis Dimensions: 16.93" x 27.95" x 1.72"</t>
  </si>
  <si>
    <t>Board Form Factor:16.7" x 17"</t>
  </si>
  <si>
    <t>Intel® Server Board S2600WT2R</t>
  </si>
  <si>
    <t>Windows Server 2016 EOM with 2 Ddevice CALs</t>
  </si>
  <si>
    <t xml:space="preserve">3.5in 2TB 7200RPM SATA 6Gb/s Enterprise drive </t>
  </si>
  <si>
    <t>16GB 2400MHz DDR4 ECC Registered memory</t>
  </si>
  <si>
    <t>Seagate 2TB 2.5 Slim Portable USB 3.0</t>
  </si>
  <si>
    <t>Samsung DVDRW SE-208AB Slim External</t>
  </si>
  <si>
    <t>Client Workstations</t>
  </si>
  <si>
    <t>Processor</t>
  </si>
  <si>
    <t>Operating System</t>
  </si>
  <si>
    <t>Office</t>
  </si>
  <si>
    <t>Monitor</t>
  </si>
  <si>
    <t>Motherboard</t>
  </si>
  <si>
    <t>Memory</t>
  </si>
  <si>
    <t>Hard Drive</t>
  </si>
  <si>
    <t>Power Supply</t>
  </si>
  <si>
    <t>Chassis</t>
  </si>
  <si>
    <t>Optical Drive</t>
  </si>
  <si>
    <t>Keyboard and Mouse</t>
  </si>
  <si>
    <t>AVR</t>
  </si>
  <si>
    <t>Processor E5-2609 v4 (20M Cache, 1.70 GHz) 8-Core</t>
  </si>
  <si>
    <t>Support for (2) two Processor E5-2600V3 &amp; V4 Series</t>
  </si>
  <si>
    <t>AM Snack</t>
  </si>
  <si>
    <t>PM Snack</t>
  </si>
  <si>
    <t>Plaque for the Speakers</t>
  </si>
  <si>
    <t>Personalized Summit Folder 18.5" X 16"</t>
  </si>
  <si>
    <t>Summit Barong for Participants</t>
  </si>
  <si>
    <t>Other Training Requirements</t>
  </si>
  <si>
    <t xml:space="preserve">Meals and Snacks </t>
  </si>
  <si>
    <t xml:space="preserve">ICT Office Supplies </t>
  </si>
  <si>
    <t xml:space="preserve">AM Snack </t>
  </si>
  <si>
    <t xml:space="preserve">Lunch </t>
  </si>
  <si>
    <t xml:space="preserve">PM Snack </t>
  </si>
  <si>
    <t>Planner &amp; Pen</t>
  </si>
  <si>
    <t>Note Pads</t>
  </si>
  <si>
    <t>Zoom Account (Professional)</t>
  </si>
  <si>
    <t>Accnt</t>
  </si>
  <si>
    <t>Ballpens</t>
  </si>
  <si>
    <t>Alcohol</t>
  </si>
  <si>
    <t>AM Snacks</t>
  </si>
  <si>
    <t>A4 Bondpaper</t>
  </si>
  <si>
    <t>Brown Envelope</t>
  </si>
  <si>
    <t>reams</t>
  </si>
  <si>
    <t>gal</t>
  </si>
  <si>
    <t>Meals and Snacks (34 PAMUs)</t>
  </si>
  <si>
    <t>Meals and Snacks (6 Leg)</t>
  </si>
  <si>
    <t>Logitech Rally Camera</t>
  </si>
  <si>
    <t>Logitech Rally Speaker</t>
  </si>
  <si>
    <t>Logitech Rally Mic Pod</t>
  </si>
  <si>
    <t>Printer Ink (Black)</t>
  </si>
  <si>
    <t>Printer Ink (Magenta)</t>
  </si>
  <si>
    <t>Printer Ink (Yellow)</t>
  </si>
  <si>
    <t>Meals and Snacks (4 Occasions)</t>
  </si>
  <si>
    <t>Meals and Snacks  (5 Occasions)</t>
  </si>
  <si>
    <t>Office Supplies  (5 Occasions)</t>
  </si>
  <si>
    <t>ICT Office Supplies  (5 Occasions)</t>
  </si>
  <si>
    <t>Meals and Snacks (5 days)</t>
  </si>
  <si>
    <t>Snack (AM)</t>
  </si>
  <si>
    <t xml:space="preserve">Snack (PM) </t>
  </si>
  <si>
    <t>Cell Card</t>
  </si>
  <si>
    <t>Bond Paper (A4)</t>
  </si>
  <si>
    <t>Bond Paper (Legal)</t>
  </si>
  <si>
    <t>Ring Binder</t>
  </si>
  <si>
    <t>Expandable Folder (legal)</t>
  </si>
  <si>
    <t>Expandable Folder (A4)</t>
  </si>
  <si>
    <t>Expandable Envelope</t>
  </si>
  <si>
    <t>Ballpen (Black)</t>
  </si>
  <si>
    <t>Sign pen</t>
  </si>
  <si>
    <t>Pencil</t>
  </si>
  <si>
    <t>Pentel Pen</t>
  </si>
  <si>
    <t>Storage Box</t>
  </si>
  <si>
    <t>Heavy Duty Extension Wire</t>
  </si>
  <si>
    <t>Manila Paper</t>
  </si>
  <si>
    <t>Special Paper for Certificate 10'S</t>
  </si>
  <si>
    <t>3 in 1 Original Instant Coffee</t>
  </si>
  <si>
    <t>Milo</t>
  </si>
  <si>
    <t>Pineapple Juice</t>
  </si>
  <si>
    <t>Cookies Variety Pack</t>
  </si>
  <si>
    <t>Tissue</t>
  </si>
  <si>
    <t>Mixed Nuts</t>
  </si>
  <si>
    <t>Disposable Coffee Stirrer</t>
  </si>
  <si>
    <t>Spoon Stirrer</t>
  </si>
  <si>
    <t>Coffee Cup</t>
  </si>
  <si>
    <t>Plastic Cup</t>
  </si>
  <si>
    <t>Disposable Plate</t>
  </si>
  <si>
    <t>Plastic Spork</t>
  </si>
  <si>
    <t>Lush Chocolate Chew</t>
  </si>
  <si>
    <t>Disinfectant</t>
  </si>
  <si>
    <t>Hard Drive SSD (500GB)</t>
  </si>
  <si>
    <t>Hard Drive SSD (1TB)</t>
  </si>
  <si>
    <t>Brother Printer (3in1)</t>
  </si>
  <si>
    <t>Brother Ink (Set)</t>
  </si>
  <si>
    <t>unit</t>
  </si>
  <si>
    <t>Scanner</t>
  </si>
  <si>
    <t>Desktop</t>
  </si>
  <si>
    <t>Spiral Notebook</t>
  </si>
  <si>
    <t>Plastic Bag</t>
  </si>
  <si>
    <t>Binding Tape</t>
  </si>
  <si>
    <t>Long Folder (Compilation of Exam)</t>
  </si>
  <si>
    <t>Brown Folder</t>
  </si>
  <si>
    <t>Fastener</t>
  </si>
  <si>
    <t>White Board Marker (Black, Red, Blue)</t>
  </si>
  <si>
    <t>Ruler</t>
  </si>
  <si>
    <t>Colored Xerox Copy of Map for Land Nav</t>
  </si>
  <si>
    <t>Earpiece</t>
  </si>
  <si>
    <t>Protractor</t>
  </si>
  <si>
    <t>ID for Students</t>
  </si>
  <si>
    <t>First Aid Medicines</t>
  </si>
  <si>
    <t>Hanging folder</t>
  </si>
  <si>
    <t>Note Pad</t>
  </si>
  <si>
    <t>Paper Clip</t>
  </si>
  <si>
    <t>Storge box</t>
  </si>
  <si>
    <t>USB 16GB</t>
  </si>
  <si>
    <t>External Drive (1TB)</t>
  </si>
  <si>
    <t>3-1 coffee</t>
  </si>
  <si>
    <t>Dispo cups</t>
  </si>
  <si>
    <t>Stirrer</t>
  </si>
  <si>
    <t>Chips</t>
  </si>
  <si>
    <t>Candies</t>
  </si>
  <si>
    <t>Printing/Publishing of CBJDP Manual V2</t>
  </si>
  <si>
    <t>books</t>
  </si>
  <si>
    <t>Clear Plastic/Transparent A4</t>
  </si>
  <si>
    <t>Envelop Certificate</t>
  </si>
  <si>
    <t>Masking Tape 1"</t>
  </si>
  <si>
    <t>Sign Here sticker</t>
  </si>
  <si>
    <t>Glue</t>
  </si>
  <si>
    <t>Sticky note</t>
  </si>
  <si>
    <t>Highlighter</t>
  </si>
  <si>
    <t>Packaging Tape Dispenser</t>
  </si>
  <si>
    <t>Clip Board</t>
  </si>
  <si>
    <t>Correction tape</t>
  </si>
  <si>
    <t>Index Tab (self adhesive)</t>
  </si>
  <si>
    <t>rls</t>
  </si>
  <si>
    <t>Printer Ink (all colors)</t>
  </si>
  <si>
    <t>USB Hub</t>
  </si>
  <si>
    <t>Keyboard</t>
  </si>
  <si>
    <t>AM (Snacks)</t>
  </si>
  <si>
    <t>PM (Snacks)</t>
  </si>
  <si>
    <t>Meals and Snacks (2 Days/35 PAMUs)</t>
  </si>
  <si>
    <t>Meals and Snacks (5 Days/HPA)</t>
  </si>
  <si>
    <t>Ink</t>
  </si>
  <si>
    <t>Office Supplies (35 PAMUs)</t>
  </si>
  <si>
    <t>ream</t>
  </si>
  <si>
    <t>Meals and Snacks (10 Occasions)</t>
  </si>
  <si>
    <t>Office Supplies (10 Occasions)</t>
  </si>
  <si>
    <t>ICT Office Supplies (10 Occasions)</t>
  </si>
  <si>
    <t>Breakfast (2 Days)</t>
  </si>
  <si>
    <t>AM Snack (2 Days)</t>
  </si>
  <si>
    <t>Lunch (2 Days)</t>
  </si>
  <si>
    <t>PM Snack (2 Days)</t>
  </si>
  <si>
    <t>Meals and Snacks (2 Occasions)</t>
  </si>
  <si>
    <t>Office Supplies (2 Occasions)</t>
  </si>
  <si>
    <t>ICT Office Supplies (2 Occasions)</t>
  </si>
  <si>
    <t>ICT Software Subscription (2 Occasions)</t>
  </si>
  <si>
    <t>Film Cover (A4)</t>
  </si>
  <si>
    <t>Clear book (50 Leaves)</t>
  </si>
  <si>
    <t>AAA Energizer Battery (Set of 4)</t>
  </si>
  <si>
    <t xml:space="preserve">Disposable Face Mask </t>
  </si>
  <si>
    <t xml:space="preserve">Antiseptic/Disinfectant Alcohol </t>
  </si>
  <si>
    <t xml:space="preserve">Sanitizer </t>
  </si>
  <si>
    <t>booklet</t>
  </si>
  <si>
    <t>External Hard Drive (2TB)</t>
  </si>
  <si>
    <t xml:space="preserve">Kaspersky Antivirus 2020 Edition </t>
  </si>
  <si>
    <t>Microsoft Office 365</t>
  </si>
  <si>
    <t>Bond Paper, Legal</t>
  </si>
  <si>
    <t>Bond Paper, A4</t>
  </si>
  <si>
    <t>Ink Refill (Black)</t>
  </si>
  <si>
    <t>Ink Refill (Cyan)</t>
  </si>
  <si>
    <t>Ink Refill (Magenta)</t>
  </si>
  <si>
    <t>Ink Refill (Yellow)</t>
  </si>
  <si>
    <t>Special Paper A4</t>
  </si>
  <si>
    <t>Stapler, Heavy Duty</t>
  </si>
  <si>
    <t>Certificate Holder</t>
  </si>
  <si>
    <t>Binder clip folder</t>
  </si>
  <si>
    <t>Paste</t>
  </si>
  <si>
    <t>Brown Envelope (Long)</t>
  </si>
  <si>
    <t>Brown Envelope (3"x5")</t>
  </si>
  <si>
    <t xml:space="preserve">AM Snack - Participants (3 Days) </t>
  </si>
  <si>
    <t xml:space="preserve">Lunch - Participants (3 Days) </t>
  </si>
  <si>
    <t xml:space="preserve">PM Snack - Participants (3 Days) </t>
  </si>
  <si>
    <t>Brewed Coffee</t>
  </si>
  <si>
    <t>Flavored Tea</t>
  </si>
  <si>
    <t>Mineral Water</t>
  </si>
  <si>
    <t>Assorted Biscuits</t>
  </si>
  <si>
    <t>Fresh Candy</t>
  </si>
  <si>
    <t>Garbage Bag</t>
  </si>
  <si>
    <t>Other Supplies (2 Occasions)</t>
  </si>
  <si>
    <t>Dinner</t>
  </si>
  <si>
    <t>Double Sided Tape</t>
  </si>
  <si>
    <t>Bottled Water</t>
  </si>
  <si>
    <t>Meals and Snacks (4 Days)</t>
  </si>
  <si>
    <t>Clear book</t>
  </si>
  <si>
    <t>Scissors</t>
  </si>
  <si>
    <t>Folder Long (transparent)</t>
  </si>
  <si>
    <t>Shredder</t>
  </si>
  <si>
    <t>Token-Notebook</t>
  </si>
  <si>
    <t>Intel Core i5-11600K Processor</t>
  </si>
  <si>
    <t>1TB EVO plus PCIE NVME M.2 SSD</t>
  </si>
  <si>
    <t>Seagate Barracuda 8TB Hard Drive</t>
  </si>
  <si>
    <t>Logitech G613 Wireless Keyboard</t>
  </si>
  <si>
    <t>USB Port/Hub</t>
  </si>
  <si>
    <t xml:space="preserve">Logitech M187 Mini Wireless Mouse </t>
  </si>
  <si>
    <t>Windows 10 Pro 64-Bit OS</t>
  </si>
  <si>
    <t>Uninterupted Power Supply</t>
  </si>
  <si>
    <t>Automatic Voltage Regulator</t>
  </si>
  <si>
    <t>Extension Cord</t>
  </si>
  <si>
    <t>Windows 10 Home 64-Bit OS</t>
  </si>
  <si>
    <t>Anti-Virus 3-in-1 Kaspersky</t>
  </si>
  <si>
    <t>PC Exhaust Fan</t>
  </si>
  <si>
    <t>HDMI Cord (25 mtrs)</t>
  </si>
  <si>
    <t>Printer</t>
  </si>
  <si>
    <t>USB (32GB)</t>
  </si>
  <si>
    <t>Training Requirements (3 PAMUs)</t>
  </si>
  <si>
    <t xml:space="preserve">AM (Snacks) </t>
  </si>
  <si>
    <t>Meals and Snacks (2 Days/3 PAMUs )</t>
  </si>
  <si>
    <t xml:space="preserve">PM (Snacks) </t>
  </si>
  <si>
    <t>Meals and Snacks (5 Days)</t>
  </si>
  <si>
    <t>A4 Bond Paper (Paper One)</t>
  </si>
  <si>
    <t>Sign Pen (Blue)</t>
  </si>
  <si>
    <t>Stabilo Highlighter (assorted color)</t>
  </si>
  <si>
    <t>Meals and Snacks (33 PAMUs)</t>
  </si>
  <si>
    <t>Offcie Supplies  (33 PAMUs)</t>
  </si>
  <si>
    <t>Specialty Paper (A4)</t>
  </si>
  <si>
    <t>White Board Marker (black)</t>
  </si>
  <si>
    <t>Short Brown Envelope</t>
  </si>
  <si>
    <t>Meals and Snacks (4 Days/HPA)</t>
  </si>
  <si>
    <t>Soda in Can</t>
  </si>
  <si>
    <t>Secure Sockets Layer (SSL-GoDaddy.com)</t>
  </si>
  <si>
    <t>Domain (GoDaddy.com)</t>
  </si>
  <si>
    <t>Cisco Firewall</t>
  </si>
  <si>
    <t>Content Delivery Network</t>
  </si>
  <si>
    <t>Seagate Cheetaa SATA</t>
  </si>
  <si>
    <t>PC Anti-Virus</t>
  </si>
  <si>
    <t>Central Intercept X Advance with EDR for GAD-MIS of PAMUs (1 Year Protection)</t>
  </si>
  <si>
    <t>Upgrade of SDD</t>
  </si>
  <si>
    <t>Snacks for OAGAD Rep, PCW Technical Assistants &amp; Consultants (3 meetings)</t>
  </si>
  <si>
    <t>Plaque of Appreciation for Resource Speakers</t>
  </si>
  <si>
    <t>Lunch for OAGAD Rep PCW Technical Assistants &amp; Consultants (3 meetings)</t>
  </si>
  <si>
    <t>Certificate frame for PCW Technical Assistants</t>
  </si>
  <si>
    <t>PM Snacks for OAGAD Rep PCW Technical Assistants &amp; Consultants (3 meetings)</t>
  </si>
  <si>
    <t>Accomodation (TOQ- only 12 rooms good for 4 pax available)</t>
  </si>
  <si>
    <t>AM Snacks for Participants, Support Personnel and PCW Technical Assistants(3days)</t>
  </si>
  <si>
    <t>Lunch for Participants, Support Personnel and PCW Technical Assistants (3days)</t>
  </si>
  <si>
    <t>PM Snacks for Participants, Support Personnel and PCW Technical Assistants (3days)</t>
  </si>
  <si>
    <t>Luna Hall, Oclub(Venue) (3days)</t>
  </si>
  <si>
    <t>Honorarium Resource Speakers from NGRP (3 hours each lecture)</t>
  </si>
  <si>
    <t>ID with Lace</t>
  </si>
  <si>
    <t>Expandable Envelop</t>
  </si>
  <si>
    <t>Expandable Folder</t>
  </si>
  <si>
    <t>AAA  Battery (for Recorder and microphone)</t>
  </si>
  <si>
    <t>Extension Cords (7 meters)</t>
  </si>
  <si>
    <t>Bond Paper A4</t>
  </si>
  <si>
    <t>boxes</t>
  </si>
  <si>
    <t>Bond Paper Long</t>
  </si>
  <si>
    <t>Photo Paper A4</t>
  </si>
  <si>
    <t>Printer Ink Set (4 colours)</t>
  </si>
  <si>
    <t>sets</t>
  </si>
  <si>
    <t>Certificate paper</t>
  </si>
  <si>
    <t>transparent PVC book cover A4</t>
  </si>
  <si>
    <t>USB 64GB (for files, softwares from consultants)</t>
  </si>
  <si>
    <t>Paper Clip 1"</t>
  </si>
  <si>
    <t>Tissue in a box</t>
  </si>
  <si>
    <t>Paper Board A4</t>
  </si>
  <si>
    <t>Token for PCW Technical Assistants and Resource Speakers (Amadeo Cooperative Coffee and Coffee press)</t>
  </si>
  <si>
    <t>Gal</t>
  </si>
  <si>
    <t>Sugar</t>
  </si>
  <si>
    <t>kls</t>
  </si>
  <si>
    <t>Coffee</t>
  </si>
  <si>
    <t>Paper Plates (sm)</t>
  </si>
  <si>
    <t>Disposable spoon</t>
  </si>
  <si>
    <t>Assorted Candies</t>
  </si>
  <si>
    <t>White Board Marker (Blue, Black, red)</t>
  </si>
  <si>
    <t>Notebook</t>
  </si>
  <si>
    <t>Sign Pen, Blue</t>
  </si>
  <si>
    <t>Flash Drive, 64GB</t>
  </si>
  <si>
    <t>Ruler, 1 foot</t>
  </si>
  <si>
    <t>Puncher, Big</t>
  </si>
  <si>
    <t>Stapler, Big</t>
  </si>
  <si>
    <t>Scotch tape</t>
  </si>
  <si>
    <t>Glue,  240 g</t>
  </si>
  <si>
    <t>Styro Cup</t>
  </si>
  <si>
    <t>GPB Development and Deliberation - PAMU - Cluster Hybrid (face to face and VTC for visayas and mindanao)</t>
  </si>
  <si>
    <t>Plaque of Appreciation, SMEs</t>
  </si>
  <si>
    <t>Honorarium to SMEs</t>
  </si>
  <si>
    <t>Venue Rental (Luna Hall Oclub)</t>
  </si>
  <si>
    <t>AM Snacks (3days)</t>
  </si>
  <si>
    <t>Lunch (3days)</t>
  </si>
  <si>
    <t>PM Snacks (3days)</t>
  </si>
  <si>
    <t>Accommodation, SME (3 days)</t>
  </si>
  <si>
    <t>PM Snacks (2 batches)</t>
  </si>
  <si>
    <t>Training Kit (ID, notebook, Info Kit, pen)</t>
  </si>
  <si>
    <t>AM Snacks 2 batches</t>
  </si>
  <si>
    <t>Lunch  2 batches</t>
  </si>
  <si>
    <t>Snacks during coordinating conferences (4x)</t>
  </si>
  <si>
    <t>Plaque for SMEs</t>
  </si>
  <si>
    <t>Honorarium Resource Speakers (PCW) (3 hours 200 x180.00= 36,000.00) fix 25k per coordination</t>
  </si>
  <si>
    <t>Venue Rental</t>
  </si>
  <si>
    <t>days</t>
  </si>
  <si>
    <t>External Drive (SDD) 1TB</t>
  </si>
  <si>
    <t>Cerificate holder</t>
  </si>
  <si>
    <t>Snacks for OAGAD Rep PCW Technical Assistants(5 meetings)</t>
  </si>
  <si>
    <t>Lunch for OAGAD Rep PCW Technical Assistants(5 meetings)</t>
  </si>
  <si>
    <t>PM Snacks for OAGAD Rep PCW Technical Assistants(5 meetings)</t>
  </si>
  <si>
    <t>AM Snacks for Participants and PCW Technical Assistants(5days)</t>
  </si>
  <si>
    <t>Lunch for Participants and PCW Technical Assistants (5days)</t>
  </si>
  <si>
    <t>PM Snacks for Participants and PCW Technical Assistants (5days)</t>
  </si>
  <si>
    <t>Breakfast PCW Technical Assistants and Morning Resource Speakers (5 days)</t>
  </si>
  <si>
    <t>Luna Hall, Oclub(Venue) (5 days)</t>
  </si>
  <si>
    <t>rent</t>
  </si>
  <si>
    <t>Honorarium Resource Speakers NGRP (3 hours each lecture)</t>
  </si>
  <si>
    <t>ballpen</t>
  </si>
  <si>
    <t>Ring Binder plastic A4</t>
  </si>
  <si>
    <t>Extension Cord (5 meters)</t>
  </si>
  <si>
    <t>Storage Box (for PGA Materials)</t>
  </si>
  <si>
    <t>Voice Recorder</t>
  </si>
  <si>
    <t>External Hard Drive 1TB</t>
  </si>
  <si>
    <t>Communication Expenses (zoom upgrade for vtc of lectures to Bdes/Bns) 1 yr subscription</t>
  </si>
  <si>
    <t>Wireless HDMI connector (to be utilized for lectures and entrance/exit briefing</t>
  </si>
  <si>
    <t>Token for PCW Technical Assistants and Resource Speakers (Amadeo Coop Coffee and Coffee press)</t>
  </si>
  <si>
    <t>Honoraruim Lecturer (3 each webinar)</t>
  </si>
  <si>
    <t>Plaque, SMEs</t>
  </si>
  <si>
    <t>Zoom Account 1Qtr</t>
  </si>
  <si>
    <t>account</t>
  </si>
  <si>
    <t>Lunch, Support Personnel (3Days)</t>
  </si>
  <si>
    <t>Snacks (AM), Support Personnel (3Days)</t>
  </si>
  <si>
    <t>Snacks (PM), Support Personnel (3Days)</t>
  </si>
  <si>
    <t>AM Snacks for OAGAD Rep PCW Technical Assistants(3 meetings)</t>
  </si>
  <si>
    <t>Lunch for OAGAD Rep PCW Technical Assistants(3 meetings)</t>
  </si>
  <si>
    <t>PM Snacks for OAGAD Rep PCW Technical Assistants(3 meetings)</t>
  </si>
  <si>
    <t>Luna Hall Oclub(Venue) (3days)</t>
  </si>
  <si>
    <t>Extension Cords (5 meters)</t>
  </si>
  <si>
    <t>External Hard Drive 1TB (for research data storage)</t>
  </si>
  <si>
    <t>GAD Plan and Budget Development and Deliberation - HPA Custer</t>
  </si>
  <si>
    <t>Token, SMEs and PCW Technical Assistants</t>
  </si>
  <si>
    <t>Plaque, SMEs and PCW Technical Assistants</t>
  </si>
  <si>
    <t>Conference Microphone</t>
  </si>
  <si>
    <t>Lunch, Participants (3Days)</t>
  </si>
  <si>
    <t>Snacks (AM &amp; PM), Participants (3 Days)</t>
  </si>
  <si>
    <t>Snacks (AM &amp; PM), Support Personnel (3 Days)</t>
  </si>
  <si>
    <t>GPB Development and Deliberation - Program Directors - HGDG Training Seminar and Program Attribution Deliberation (face to face)</t>
  </si>
  <si>
    <t>HDMI Wireless connection device</t>
  </si>
  <si>
    <t>Notebook and Pen</t>
  </si>
  <si>
    <t>Lunch, Facilitators and SMEs</t>
  </si>
  <si>
    <t>Snacks (AM &amp; PM), Participants</t>
  </si>
  <si>
    <t>Snacks (AM &amp; PM), Support Personnel</t>
  </si>
  <si>
    <t>Info Kit</t>
  </si>
  <si>
    <t>Bond Paper, A4</t>
  </si>
  <si>
    <t>printer ink refill</t>
  </si>
  <si>
    <t>Expandable Plastic Folder</t>
  </si>
  <si>
    <t>Ink black</t>
  </si>
  <si>
    <t>PVC Clear Cover A4</t>
  </si>
  <si>
    <t>File Binder clip folder A4 3"</t>
  </si>
  <si>
    <t>Paper Foldback Clips 2"</t>
  </si>
  <si>
    <t>Paper Foldback Clips 3/4"</t>
  </si>
  <si>
    <t>plastic comb binding rings 16mm</t>
  </si>
  <si>
    <t>5-02-11-030-01</t>
  </si>
  <si>
    <t>ICT Consultancy Services</t>
  </si>
  <si>
    <t>Payment for IT Consultant</t>
  </si>
  <si>
    <t>mos</t>
  </si>
  <si>
    <t>Payment for Psychologist</t>
  </si>
  <si>
    <t>Payment for Lawyer</t>
  </si>
  <si>
    <t>Payment for IT/Web Developer Consultant</t>
  </si>
  <si>
    <t>Day 1 Snacks (AM), Participants (2 Days)</t>
  </si>
  <si>
    <t>Day 1 Snacks (AM), Support Personnel (2 Days)</t>
  </si>
  <si>
    <t>Day 2 Snacks (AM), Participants (2 Days)</t>
  </si>
  <si>
    <t>Day 2 Snacks (PM), Support Personnel (2 Days)</t>
  </si>
  <si>
    <t>AM Snacks Presentation of Luzon-based PAMUs (2days)</t>
  </si>
  <si>
    <t>PM Snacks Presentation of Luzon-based PAMUs (2days)</t>
  </si>
  <si>
    <t>AM Snacks Presentation of Visayas-based PAMUs (1 day)</t>
  </si>
  <si>
    <t>PM Snacks Presentation of Visayas-based PAMUs (1 day)</t>
  </si>
  <si>
    <t>AM Snacks Presentation of Mindanao-based PAMUs (2 days)</t>
  </si>
  <si>
    <t>PM Snacks Presentation of Mindanao-based PAMUs (2 days to 5 units)</t>
  </si>
  <si>
    <t>Snacks AM (3days each units - coordinating meeting)</t>
  </si>
  <si>
    <t>PAX</t>
  </si>
  <si>
    <t>Snacks PM (3days each units - coordinating meeting)</t>
  </si>
  <si>
    <t>Lunch (3days each units - coordinating meeting)</t>
  </si>
  <si>
    <t>Snacks (AM &amp; PM), Participants (2 Days each cluster)</t>
  </si>
  <si>
    <t>Snacks (AM &amp; PM), Support Personnel (2 Days each clusters)</t>
  </si>
  <si>
    <t>AM Snack - Participants  1 day per RCDGs</t>
  </si>
  <si>
    <t>Lunch - Participants 1 day per RCDGs</t>
  </si>
  <si>
    <t>PM Snack - Participants  1 day per RCDGs</t>
  </si>
  <si>
    <t>AM Snack -  Levelling Session with PAMU GAD Officers 2days</t>
  </si>
  <si>
    <t>Lunch - Levelling Session with PAMU GAD Officers 2 days</t>
  </si>
  <si>
    <t>PM Snack - Levelling Session with PAMU GAD Officers 2days</t>
  </si>
  <si>
    <t>A.M. Snacks (total of 9 Days)</t>
  </si>
  <si>
    <t>P.M. Snacks (9 Days)</t>
  </si>
  <si>
    <t>PM Snacks Presentation of Mindanao-based PAMUs (2 days)</t>
  </si>
  <si>
    <t>Plaque of Appreciation SMEs</t>
  </si>
  <si>
    <t>Snacks (AM &amp; PM), Participants (2 Days)</t>
  </si>
  <si>
    <t>Snacks (AM &amp; PM), Support Personnel (2 Days)</t>
  </si>
  <si>
    <t>Snacks  (morning) participants TWG &amp; GFPS Execom</t>
  </si>
  <si>
    <t>Snacks (afternoon) participants TWG and GFPS Execom</t>
  </si>
  <si>
    <t>Snacks  (morning) support Staff for TWG and GFPS Execom</t>
  </si>
  <si>
    <t>Snacks  (afternoon) support Staff for TWG and GFPS Execom</t>
  </si>
  <si>
    <t>Social Media Marketing Fee</t>
  </si>
  <si>
    <t>Advance Photography and Videography Fee</t>
  </si>
  <si>
    <t xml:space="preserve">Graphic Designing Fee </t>
  </si>
  <si>
    <t>Online Communications Subscription</t>
  </si>
  <si>
    <t>Cloud Subscription</t>
  </si>
  <si>
    <t xml:space="preserve">Graphic Design Software </t>
  </si>
  <si>
    <t>ink (B,C,Y,Bl)</t>
  </si>
  <si>
    <t>External Hard drive (2T, SSD)</t>
  </si>
  <si>
    <t>Laptop</t>
  </si>
  <si>
    <t>3-in-1 Printer</t>
  </si>
  <si>
    <t>UPS</t>
  </si>
  <si>
    <t>Snacks (A.M.)</t>
  </si>
  <si>
    <t>Meals (Lunch)</t>
  </si>
  <si>
    <t>Snacks (P.M.)</t>
  </si>
  <si>
    <t>Toner Ink Jet</t>
  </si>
  <si>
    <t>Pencil Mongol #2</t>
  </si>
  <si>
    <t>Stirrer Stick</t>
  </si>
  <si>
    <t>Asstd Candies</t>
  </si>
  <si>
    <t>Microsoft Office</t>
  </si>
  <si>
    <t>Computer Ink Black</t>
  </si>
  <si>
    <t>Honorarium to Invited Facilitators</t>
  </si>
  <si>
    <t>HPA Batch 1 Meals (2 days)</t>
  </si>
  <si>
    <t>HPA Batch 2 Meals (2 days)</t>
  </si>
  <si>
    <t>Meals of Participants (2 days) 3ID, PA</t>
  </si>
  <si>
    <t>Meals of Participants (2 days) 54th Ebde/11ID</t>
  </si>
  <si>
    <t>tube</t>
  </si>
  <si>
    <t>Registration Fees( Specialized Learning and Development Interventions</t>
  </si>
  <si>
    <t xml:space="preserve">   Snacks AM (5 days)</t>
  </si>
  <si>
    <t xml:space="preserve">   Lunch (5 days)</t>
  </si>
  <si>
    <t xml:space="preserve">   Snacks PM (5 days)</t>
  </si>
  <si>
    <t xml:space="preserve">   Prepaid Card</t>
  </si>
  <si>
    <t xml:space="preserve">   Plaques</t>
  </si>
  <si>
    <t xml:space="preserve">   T shirts</t>
  </si>
  <si>
    <t xml:space="preserve">   Bond Paper (A4)</t>
  </si>
  <si>
    <t xml:space="preserve">   Sign Pen</t>
  </si>
  <si>
    <t xml:space="preserve">   White Board Marker</t>
  </si>
  <si>
    <t xml:space="preserve">   White Board Eraser</t>
  </si>
  <si>
    <t xml:space="preserve">   Correction Tape</t>
  </si>
  <si>
    <t xml:space="preserve">   Bottled Water</t>
  </si>
  <si>
    <t xml:space="preserve">   Juice in Can</t>
  </si>
  <si>
    <t xml:space="preserve">   Ink</t>
  </si>
  <si>
    <t xml:space="preserve">AM Snacks </t>
  </si>
  <si>
    <t xml:space="preserve">Mobile Load Card </t>
  </si>
  <si>
    <t xml:space="preserve">Bond Paper (A4)  </t>
  </si>
  <si>
    <t>Brown Envelope (Legal)</t>
  </si>
  <si>
    <t>Brown Envelope (Short)</t>
  </si>
  <si>
    <t>Puncher</t>
  </si>
  <si>
    <t>Staple Wire</t>
  </si>
  <si>
    <t>Scotch Tape</t>
  </si>
  <si>
    <t>Index Card</t>
  </si>
  <si>
    <t>Record Book</t>
  </si>
  <si>
    <t>Paper Clip (Large)</t>
  </si>
  <si>
    <t>Black Ink</t>
  </si>
  <si>
    <t>Magenta Ink</t>
  </si>
  <si>
    <t>Cyan Ink</t>
  </si>
  <si>
    <t>Yellow Ink</t>
  </si>
  <si>
    <t>bundle</t>
  </si>
  <si>
    <t>Meals and Snack (15 Days)</t>
  </si>
  <si>
    <t>External Drive</t>
  </si>
  <si>
    <t>Mouse Pad</t>
  </si>
  <si>
    <t>Mouse</t>
  </si>
  <si>
    <t>Hard Drive Enclosures</t>
  </si>
  <si>
    <t>Colored Ink</t>
  </si>
  <si>
    <t>Bond Paper (Short)</t>
  </si>
  <si>
    <t>Bond Paper (Long)</t>
  </si>
  <si>
    <t>Ballpen (Blue)</t>
  </si>
  <si>
    <t>Adaptor</t>
  </si>
  <si>
    <t>Stapler</t>
  </si>
  <si>
    <t>Extension Wire</t>
  </si>
  <si>
    <t>Macbook Air</t>
  </si>
  <si>
    <t>Desktop Set</t>
  </si>
  <si>
    <t>Lenovo Laptop</t>
  </si>
  <si>
    <t>Epson Printer</t>
  </si>
  <si>
    <t>Semi Expendable ICT Equipment</t>
  </si>
  <si>
    <t>Ink (100 ml/bottle)</t>
  </si>
  <si>
    <t>USB (8GB)</t>
  </si>
  <si>
    <t>ml</t>
  </si>
  <si>
    <t>Bond Paper</t>
  </si>
  <si>
    <t>Fasteners</t>
  </si>
  <si>
    <t>Sliding Folders</t>
  </si>
  <si>
    <t>Scotch Tape (Small)</t>
  </si>
  <si>
    <t>Masking Tape (Medium)</t>
  </si>
  <si>
    <t>Binding Clip (Big)</t>
  </si>
  <si>
    <t>Paper Clips</t>
  </si>
  <si>
    <t>Stamp Pad</t>
  </si>
  <si>
    <t>Signed Pen (Blue)</t>
  </si>
  <si>
    <t>Stabilo</t>
  </si>
  <si>
    <t>Physical Fitness Test Kit</t>
  </si>
  <si>
    <t>A4 Paper (500 pcs/ream)</t>
  </si>
  <si>
    <t>Pentel Pen (50 students/ pentel pen)</t>
  </si>
  <si>
    <t>Long Bond Paper (500 pcs/ream)</t>
  </si>
  <si>
    <t>X-ray Envelope (100 pcs/pack)</t>
  </si>
  <si>
    <t>Long Brown Envelope</t>
  </si>
  <si>
    <t>Extraction Kit</t>
  </si>
  <si>
    <t>per use</t>
  </si>
  <si>
    <t xml:space="preserve">Paracetamol </t>
  </si>
  <si>
    <t>Oresol</t>
  </si>
  <si>
    <t>Mefenamic</t>
  </si>
  <si>
    <t>Biogesic</t>
  </si>
  <si>
    <t>Drugs and Medicines (202 Special Enlistees)</t>
  </si>
  <si>
    <t>TETANUS TOXOIDS</t>
  </si>
  <si>
    <t>XRAY</t>
  </si>
  <si>
    <t>X-Ray Film 1x17x100 (100 films/box)</t>
  </si>
  <si>
    <t>X-Ray Developer/Fixer (20 Liters/box)</t>
  </si>
  <si>
    <t>X-Ray Fixer (20 Liters/box)</t>
  </si>
  <si>
    <t>ECG</t>
  </si>
  <si>
    <t>ECG Paper (5 rolls/box, 30m/roll)</t>
  </si>
  <si>
    <t>DENTAL</t>
  </si>
  <si>
    <t xml:space="preserve">Dental Form </t>
  </si>
  <si>
    <t>Surgical Gloves Small (100 pcs/box)</t>
  </si>
  <si>
    <t>Orahex Oral Antiseptic (500ml/ bottle)</t>
  </si>
  <si>
    <t>Disposable Face Mask (50 pcs/ box)</t>
  </si>
  <si>
    <t xml:space="preserve">PREGNANCY TEST </t>
  </si>
  <si>
    <t xml:space="preserve">Alcohol </t>
  </si>
  <si>
    <t>Cotton</t>
  </si>
  <si>
    <t>Face Mask</t>
  </si>
  <si>
    <t>Examining Gloves</t>
  </si>
  <si>
    <t>Betadine</t>
  </si>
  <si>
    <t>Alcohol 70% (500 ml/bottle)</t>
  </si>
  <si>
    <t>Disposable Bib/ Towel 10's (100 pcs/box)</t>
  </si>
  <si>
    <t>Mouth Mirror Disposable</t>
  </si>
  <si>
    <t>Cidex Solution (4,000 ml/bottle)</t>
  </si>
  <si>
    <t>Cotton Balls (300 balls/pack)</t>
  </si>
  <si>
    <t>X-ray Film (100 film/ pack)</t>
  </si>
  <si>
    <t>X-ray Developer (500 ml/bottle)</t>
  </si>
  <si>
    <t>X-Ray Fixer (500 ml/bottle)</t>
  </si>
  <si>
    <t>CBC</t>
  </si>
  <si>
    <t>HBSAg</t>
  </si>
  <si>
    <t>RPR</t>
  </si>
  <si>
    <t>U/A (URINALYSIS)</t>
  </si>
  <si>
    <t>F/A (FECALYSIS)</t>
  </si>
  <si>
    <t xml:space="preserve">Drug Test Kit </t>
  </si>
  <si>
    <t>LABORATORY</t>
  </si>
  <si>
    <t>NBI Clearance</t>
  </si>
  <si>
    <t>Police Clearance</t>
  </si>
  <si>
    <t>Barangay Clearance</t>
  </si>
  <si>
    <t>PSA Record (CENOMAR)</t>
  </si>
  <si>
    <t>PSA Record (Live Birth)</t>
  </si>
  <si>
    <t>MTC/RTC Certificates</t>
  </si>
  <si>
    <t>Scholastic Records</t>
  </si>
  <si>
    <t>Botlled Water</t>
  </si>
  <si>
    <t>Classic Instant Coffee</t>
  </si>
  <si>
    <t>Biscuit</t>
  </si>
  <si>
    <t xml:space="preserve">Kopiko Brown </t>
  </si>
  <si>
    <t>Regular Soda Drink</t>
  </si>
  <si>
    <t>Chichiria</t>
  </si>
  <si>
    <t>Toothpick</t>
  </si>
  <si>
    <t xml:space="preserve">AM Snack - Participants (15 Days) </t>
  </si>
  <si>
    <t xml:space="preserve">Lunch - Participants (15 Days) </t>
  </si>
  <si>
    <t xml:space="preserve">PM Snack - Participants (15 Days) </t>
  </si>
  <si>
    <t>Meals and Snacks-PAMUs</t>
  </si>
  <si>
    <t>Meals and Snacks- HPA</t>
  </si>
  <si>
    <t xml:space="preserve">AM Snack - Participants (4 Days) </t>
  </si>
  <si>
    <t xml:space="preserve">Lunch - Participants (4 Days) </t>
  </si>
  <si>
    <t xml:space="preserve">PM Snack - Participants (4 Days) </t>
  </si>
  <si>
    <t>Meals and Snacks- 263 Applicants</t>
  </si>
  <si>
    <t>External drive 1TB</t>
  </si>
  <si>
    <t>Microsoft 365</t>
  </si>
  <si>
    <t>Anti-Virus</t>
  </si>
  <si>
    <t>Google Drive Storage</t>
  </si>
  <si>
    <t>Question PRO System</t>
  </si>
  <si>
    <t>File folder hard bound</t>
  </si>
  <si>
    <t>Roll-up Tarpaulin</t>
  </si>
  <si>
    <t>Biscuits</t>
  </si>
  <si>
    <t>Handsoap</t>
  </si>
  <si>
    <t>Interfolded tissue</t>
  </si>
  <si>
    <t>Fee for Statistician</t>
  </si>
  <si>
    <t>Revision/review of questionaire</t>
  </si>
  <si>
    <t xml:space="preserve">Snacks (2days) </t>
  </si>
  <si>
    <t xml:space="preserve">Lunch (2days) </t>
  </si>
  <si>
    <t>Validation and Assessment</t>
  </si>
  <si>
    <t xml:space="preserve">Snacks (3days) </t>
  </si>
  <si>
    <t xml:space="preserve">Lunch (3days) </t>
  </si>
  <si>
    <t>Presentation of Outputs</t>
  </si>
  <si>
    <t>Advertisement/Info Drive Tarpaulin</t>
  </si>
  <si>
    <t xml:space="preserve"> set</t>
  </si>
  <si>
    <t>NP EXAM SHEET</t>
  </si>
  <si>
    <t>EI</t>
  </si>
  <si>
    <t>Per</t>
  </si>
  <si>
    <t>Comt</t>
  </si>
  <si>
    <t>BP</t>
  </si>
  <si>
    <t>PF</t>
  </si>
  <si>
    <t>Representation Expense  (Processing Phase)</t>
  </si>
  <si>
    <t>Snacks (PM)</t>
  </si>
  <si>
    <t>Sub-Total</t>
  </si>
  <si>
    <t>Representation Expense  (During Deliberation Initial and Final)</t>
  </si>
  <si>
    <t>Meals and Snacks (10 Days)</t>
  </si>
  <si>
    <t>Clear Folder</t>
  </si>
  <si>
    <t>Paper Cutter</t>
  </si>
  <si>
    <t xml:space="preserve">Black Ink </t>
  </si>
  <si>
    <t>ICT Office Supplies (14 Cases)</t>
  </si>
  <si>
    <t xml:space="preserve">Bond Paper (Legal) </t>
  </si>
  <si>
    <t xml:space="preserve">Folder (legal) </t>
  </si>
  <si>
    <t xml:space="preserve">Folder (A4) </t>
  </si>
  <si>
    <t xml:space="preserve">Yellow paper </t>
  </si>
  <si>
    <t xml:space="preserve">Ballpen (Blue) </t>
  </si>
  <si>
    <t xml:space="preserve">Sign pen </t>
  </si>
  <si>
    <t xml:space="preserve">Pencil </t>
  </si>
  <si>
    <t xml:space="preserve">Battery </t>
  </si>
  <si>
    <t xml:space="preserve">Record Book </t>
  </si>
  <si>
    <t xml:space="preserve">Tissue </t>
  </si>
  <si>
    <t>Office Supplies (14 Cases)</t>
  </si>
  <si>
    <t>Assorted Cookies</t>
  </si>
  <si>
    <t>Juice in Can</t>
  </si>
  <si>
    <t>3 in Creamy Coffee</t>
  </si>
  <si>
    <t>Assorted Peanuts</t>
  </si>
  <si>
    <t>can</t>
  </si>
  <si>
    <t>Other Supplies (14 Cases)</t>
  </si>
  <si>
    <t>Cellcard (14 Cases)</t>
  </si>
  <si>
    <t>Snacks (AM)  (10 days per case)</t>
  </si>
  <si>
    <t>Lunch  (10 days per case)</t>
  </si>
  <si>
    <t>Snack (PM)  (10 days per case)</t>
  </si>
  <si>
    <t>USB (16GB)</t>
  </si>
  <si>
    <t>Ballpen (Red)</t>
  </si>
  <si>
    <t>DELIBERATIONS (VISCOM/10ID/1ID/4ID)</t>
  </si>
  <si>
    <t xml:space="preserve">AM Snack - Participants (18 Days) </t>
  </si>
  <si>
    <t xml:space="preserve">Lunch - Participants (18 Days) </t>
  </si>
  <si>
    <t xml:space="preserve">PM Snack - Participants (18 Days) </t>
  </si>
  <si>
    <t>HPA DELIBERATIONS (LUZON BASED)</t>
  </si>
  <si>
    <t xml:space="preserve">AM Snack - Participants (11 Days) </t>
  </si>
  <si>
    <t xml:space="preserve">Lunch - Participants (11 Days) </t>
  </si>
  <si>
    <t xml:space="preserve">PM Snack - Participants (11 Days) </t>
  </si>
  <si>
    <t>HPA FINAL DELIBERATIONS</t>
  </si>
  <si>
    <t xml:space="preserve">AM Snack - Participants (5 Days) </t>
  </si>
  <si>
    <t xml:space="preserve">Lunch - Participants (5 Days) </t>
  </si>
  <si>
    <t xml:space="preserve">PM Snack - Participants (5 Days) </t>
  </si>
  <si>
    <t>2TB Hard Drive</t>
  </si>
  <si>
    <t>ASUS 15Inches !ntel3 Laptop</t>
  </si>
  <si>
    <t>3.0 Flash Drive (256GB)</t>
  </si>
  <si>
    <t>Printer Ink (L5190 -003 Black)</t>
  </si>
  <si>
    <t>Printer Ink (L5190 -003 Colored)</t>
  </si>
  <si>
    <t>EPSON 3-IN-1 Printer (L5190)</t>
  </si>
  <si>
    <t>Pencil # 2 Mongol w/ eraser</t>
  </si>
  <si>
    <t>Copy Paper (A4)</t>
  </si>
  <si>
    <t>Paper Fastener Non-Rust Metal</t>
  </si>
  <si>
    <t>A-4 Folder</t>
  </si>
  <si>
    <t>Filing Box</t>
  </si>
  <si>
    <t>Stabilo Highlighter</t>
  </si>
  <si>
    <t>Staple Wire Standard</t>
  </si>
  <si>
    <t>Filing Storage Box</t>
  </si>
  <si>
    <t>A4 Brown Envelope</t>
  </si>
  <si>
    <t>Transparent Plastic Cover</t>
  </si>
  <si>
    <t>Special Conqueror Paper A4</t>
  </si>
  <si>
    <t>Sign Pen Black .5</t>
  </si>
  <si>
    <t>Sign Pen Blue .5</t>
  </si>
  <si>
    <t>Mixed Fruits and Bottled Juice @ P180.00 for 35 pax</t>
  </si>
  <si>
    <t>Assorted Nuts</t>
  </si>
  <si>
    <t>AM Snacks- Members, Resource Persons, Secretariat &amp; Support Personnel @ 35 pax</t>
  </si>
  <si>
    <t>Lunch - Members, Resource Persons, Secretariat &amp; Support Personnel @ 35 pax</t>
  </si>
  <si>
    <t>PM Snacks - Members, Resource Persons, Secretariat &amp; Support Personnel @ 35 pax</t>
  </si>
  <si>
    <t>A4 Size Copy Paper</t>
  </si>
  <si>
    <t>Ball Pen (Black &amp; Blue)</t>
  </si>
  <si>
    <t>Sign Pen (Black &amp; Blue)</t>
  </si>
  <si>
    <t>Scotch Tape (1 inch)</t>
  </si>
  <si>
    <t>Expanded Long Folder</t>
  </si>
  <si>
    <t>Special Paper (A4)</t>
  </si>
  <si>
    <t>Acetate Plastic (A4)</t>
  </si>
  <si>
    <t>Envelope Brown Long</t>
  </si>
  <si>
    <t>Orocan File Storage Box (130L)</t>
  </si>
  <si>
    <t>Ring Binder Folder A4</t>
  </si>
  <si>
    <t>Orocan Box 120L</t>
  </si>
  <si>
    <t>dozen</t>
  </si>
  <si>
    <t xml:space="preserve">AM Snacks-Members, Resource Persons, Secretariat and Support Personnel </t>
  </si>
  <si>
    <t xml:space="preserve">Lunch-Members, Resource Persons, Secretariat and Support Personnel </t>
  </si>
  <si>
    <t xml:space="preserve">Fruits - Members, Resource Persons, Secretariat and Support Personnel </t>
  </si>
  <si>
    <t xml:space="preserve">PM Snacks -Members, Resource Persons, Secretariat and Support Personnel </t>
  </si>
  <si>
    <t>PASB Board Regulang Meeting with 52 pax attendees</t>
  </si>
  <si>
    <t>PASB Secretariat/Screening Committee Coordinating Meeting (Prior Prestn to the PASB Board) 20 pax</t>
  </si>
  <si>
    <t>AM/PM Snacks-Attendees and Support Personnel</t>
  </si>
  <si>
    <t>Lunch-Attendees and Support Personnel</t>
  </si>
  <si>
    <t>External Drive 2TB</t>
  </si>
  <si>
    <t>Flash drive (128GB) USB</t>
  </si>
  <si>
    <t>USB (8 GB)</t>
  </si>
  <si>
    <t>ICT Office Supplies (5,277 Quota Allocation)</t>
  </si>
  <si>
    <t>White Bd Marker (Blck, Red, Blue)</t>
  </si>
  <si>
    <t>Masking Tape 1/2</t>
  </si>
  <si>
    <t>Progractor</t>
  </si>
  <si>
    <t>roll</t>
  </si>
  <si>
    <t>Special paper</t>
  </si>
  <si>
    <t>Binding Clip (Small)</t>
  </si>
  <si>
    <t>Binding Clip (Medium)</t>
  </si>
  <si>
    <t>White Board</t>
  </si>
  <si>
    <t>White Board Marker</t>
  </si>
  <si>
    <t>White Board Eraser</t>
  </si>
  <si>
    <t>Ink T6641 (black)</t>
  </si>
  <si>
    <t>Ink T6641 (cyan)</t>
  </si>
  <si>
    <t>Ink T6641 (magenta)</t>
  </si>
  <si>
    <t>Ink T6641 (yellow)</t>
  </si>
  <si>
    <t>Lemon Green Tea</t>
  </si>
  <si>
    <t>Doubled Chocolate Biscuits</t>
  </si>
  <si>
    <t>Assorted Chichiria</t>
  </si>
  <si>
    <t>AGH/HPA (P2LTs)</t>
  </si>
  <si>
    <t>AGH/HPA (Support Personnel)</t>
  </si>
  <si>
    <t>crtdge</t>
  </si>
  <si>
    <t xml:space="preserve">A4 Bond Paper </t>
  </si>
  <si>
    <t>Pencil (Mongol Nr 2)</t>
  </si>
  <si>
    <t>Expandable envelop (brown)</t>
  </si>
  <si>
    <t>Folder Ring Binder Green 2' (A4)</t>
  </si>
  <si>
    <t>Acer Intel Core i5 desktop</t>
  </si>
  <si>
    <t>Printer Epson L3250</t>
  </si>
  <si>
    <t>External Hard Drive</t>
  </si>
  <si>
    <t xml:space="preserve">Assorted Juices in can </t>
  </si>
  <si>
    <t>Bottled Water (500 ml)</t>
  </si>
  <si>
    <t>Banana Chips</t>
  </si>
  <si>
    <t>Assorted Nuts (500g)</t>
  </si>
  <si>
    <t xml:space="preserve">Assorted Candies </t>
  </si>
  <si>
    <t>Breakfast - Participants</t>
  </si>
  <si>
    <t xml:space="preserve">AM Snack - Participants </t>
  </si>
  <si>
    <t xml:space="preserve">Lunch - Participants </t>
  </si>
  <si>
    <t>PM Snack - Participants</t>
  </si>
  <si>
    <t xml:space="preserve">Dinner - Participants </t>
  </si>
  <si>
    <t>Folder (Legal)</t>
  </si>
  <si>
    <t>Yellow Paper</t>
  </si>
  <si>
    <t>Marker</t>
  </si>
  <si>
    <t xml:space="preserve">Sign Pen </t>
  </si>
  <si>
    <t>Mailing Envelope</t>
  </si>
  <si>
    <t>Disinfectant Spray (510g)</t>
  </si>
  <si>
    <t>Alcohol 1 Gal</t>
  </si>
  <si>
    <t>Tissue Rolls 9s</t>
  </si>
  <si>
    <t>Battery (AA) 4/pack</t>
  </si>
  <si>
    <t>Snacks (AM) (32 days)</t>
  </si>
  <si>
    <t>Lunch (32 days)</t>
  </si>
  <si>
    <t>Snacks (PM) (32 days)</t>
  </si>
  <si>
    <t>Tissue Paper</t>
  </si>
  <si>
    <t>Disposable Paper Cups</t>
  </si>
  <si>
    <t>Coffee Stirrer</t>
  </si>
  <si>
    <t>Coffee (3-in-1)</t>
  </si>
  <si>
    <t>Tea</t>
  </si>
  <si>
    <t>Juice in Can (Del Monte)</t>
  </si>
  <si>
    <t>Chips, Nuts, Candy and etc.</t>
  </si>
  <si>
    <t>Token</t>
  </si>
  <si>
    <t xml:space="preserve">AM snack </t>
  </si>
  <si>
    <t xml:space="preserve">PM Snack  </t>
  </si>
  <si>
    <t>External Hardrives (SSD)</t>
  </si>
  <si>
    <t>Flash Drive (16GB)</t>
  </si>
  <si>
    <t>Ink Blank (4 colors)</t>
  </si>
  <si>
    <t>Meals and Snacks (10 Days for 46 Pre Trial Officers)</t>
  </si>
  <si>
    <t>File folder Hard Bound</t>
  </si>
  <si>
    <t>Morning Snacks (5days)</t>
  </si>
  <si>
    <t>Lunch (5days)</t>
  </si>
  <si>
    <t>Afternoon snacks (5days)</t>
  </si>
  <si>
    <t>Lunch (2days)</t>
  </si>
  <si>
    <t>Afternoon snacks (2days)</t>
  </si>
  <si>
    <t>Meals and Snacks (HPA)</t>
  </si>
  <si>
    <t>Meals and Snacks (PAMUs)</t>
  </si>
  <si>
    <t>Officce Supplies (HPA)</t>
  </si>
  <si>
    <t>Officce Supplies (PAMUs)</t>
  </si>
  <si>
    <t>USB Flash Drive Hub (4 in 1)</t>
  </si>
  <si>
    <t>Laptop 15"</t>
  </si>
  <si>
    <t>AM Snacks during deliberations @  32 pax</t>
  </si>
  <si>
    <t>Lunch during deliberations @ 32 pax</t>
  </si>
  <si>
    <t>PM Snacks during deliberations @ 32 pax</t>
  </si>
  <si>
    <t xml:space="preserve">Ink for Printer </t>
  </si>
  <si>
    <t>Brown Envelope Long</t>
  </si>
  <si>
    <t>Sign Pen Blue</t>
  </si>
  <si>
    <t>Heavy Duty Sharpener</t>
  </si>
  <si>
    <t>Folder (A4)</t>
  </si>
  <si>
    <t xml:space="preserve">Reproduction of Test Booklet </t>
  </si>
  <si>
    <t>Pencil (Mongol 2)</t>
  </si>
  <si>
    <t>My Gel Pen</t>
  </si>
  <si>
    <t>Storage box</t>
  </si>
  <si>
    <t>Testing Materials for NP (CGSC)</t>
  </si>
  <si>
    <t>Office Supplies (APMC)</t>
  </si>
  <si>
    <t>Office Supplies (TRADOC)</t>
  </si>
  <si>
    <t xml:space="preserve">Physical Medical Exam (PME) </t>
  </si>
  <si>
    <t>LTE Advance Prepaid WIFI</t>
  </si>
  <si>
    <t>Snacks during the conduct of processing for CGSC Candidates</t>
  </si>
  <si>
    <t>Lunch for 20 conferences</t>
  </si>
  <si>
    <t>Snacks  (36 pax) for 20 conferences</t>
  </si>
  <si>
    <t xml:space="preserve">AM - Snacks during NP Exam &amp; Oral Interview on NP (12 pax) for 7 days </t>
  </si>
  <si>
    <t>Lunch during NP Exam &amp; Oral Interview on NP (12 pax) for 7 days</t>
  </si>
  <si>
    <t>PM - Snacks during NP Exam &amp; Oral Interview on NP (12 pax) for 7 days</t>
  </si>
  <si>
    <t>AM - Snacks during Oral Interview to PA CGSC SC (35 pax) for two (2) days</t>
  </si>
  <si>
    <t>Lunch during Oral Interview to PA CGSC SC (35 pax) for two (2) days</t>
  </si>
  <si>
    <t>PM - Snacks during Oral Interview to PA CGSC SC (35 pax) for two (2) days</t>
  </si>
  <si>
    <t>Bottled water</t>
  </si>
  <si>
    <t>Scotch Tape (Big)</t>
  </si>
  <si>
    <t>Binding Clip (Large)</t>
  </si>
  <si>
    <t xml:space="preserve">Flavored Tea </t>
  </si>
  <si>
    <t xml:space="preserve">Lemon Green Tea </t>
  </si>
  <si>
    <t>Resealable Bag</t>
  </si>
  <si>
    <t>Plastic Bag (Small)</t>
  </si>
  <si>
    <t>Snack (AM)  (20 days)</t>
  </si>
  <si>
    <t>Lunch  (20 days)</t>
  </si>
  <si>
    <t>Snack (PM)  (20 days)</t>
  </si>
  <si>
    <t>Buko Juice  (20 days)</t>
  </si>
  <si>
    <t>Snacks (AM) (5 days)</t>
  </si>
  <si>
    <t>Lunch  (5 days)</t>
  </si>
  <si>
    <t>Snacks (PM)  (5 days)</t>
  </si>
  <si>
    <t>Meals and Snacks (18 PAMUs)</t>
  </si>
  <si>
    <t>Exam and Interview -FSRR, PA</t>
  </si>
  <si>
    <t>Exam and Interview -ASCOM/TRADOC/AD, PA</t>
  </si>
  <si>
    <t>Exam and Interview - 2ID, PA</t>
  </si>
  <si>
    <t>Exam and Interview - HPA POST UNITS</t>
  </si>
  <si>
    <t xml:space="preserve">AM Snack - Participants (20 Days) </t>
  </si>
  <si>
    <t xml:space="preserve">Lunch - Participants (20 Days) </t>
  </si>
  <si>
    <t xml:space="preserve">PM Snack - Participants (20 Days) </t>
  </si>
  <si>
    <t>3in1 Original Instant Coffee</t>
  </si>
  <si>
    <t xml:space="preserve">Doubled Chocolate Biscuits </t>
  </si>
  <si>
    <t xml:space="preserve">Snacks (PM)  </t>
  </si>
  <si>
    <t xml:space="preserve">Bottled Water (350ML) </t>
  </si>
  <si>
    <t>Green Folder (Long)</t>
  </si>
  <si>
    <t>White Board Marker (Blue)</t>
  </si>
  <si>
    <t>White Board Marker (Black)</t>
  </si>
  <si>
    <t>White Board Marker (Red)</t>
  </si>
  <si>
    <t>Creamer</t>
  </si>
  <si>
    <t>Chips and Corn Assorted</t>
  </si>
  <si>
    <t>Styro Cups</t>
  </si>
  <si>
    <t>kilo</t>
  </si>
  <si>
    <t>Meals and Snacks (17 Days)</t>
  </si>
  <si>
    <t>Mineral Water 500ml</t>
  </si>
  <si>
    <t>Facial Tissue</t>
  </si>
  <si>
    <t>Orocan Box 70ltrs</t>
  </si>
  <si>
    <t>Isopropyl Alcohol 500ml</t>
  </si>
  <si>
    <t>Snacks AM (4 Days)</t>
  </si>
  <si>
    <t>Lunch (4 Days)</t>
  </si>
  <si>
    <t>Snacks PM (4 Days)</t>
  </si>
  <si>
    <t>Meals and Snacks (7 Days)</t>
  </si>
  <si>
    <t>3in1 Orig Instant Coffee</t>
  </si>
  <si>
    <t xml:space="preserve">Brewed Coffee </t>
  </si>
  <si>
    <t xml:space="preserve">Disposable Plate </t>
  </si>
  <si>
    <t>Meals and Snacks (4 Mtngs)</t>
  </si>
  <si>
    <t xml:space="preserve">Snacks (AM) </t>
  </si>
  <si>
    <t xml:space="preserve">Staple Wire </t>
  </si>
  <si>
    <t xml:space="preserve">Sign Pen (Blue) </t>
  </si>
  <si>
    <t>Paracetamol</t>
  </si>
  <si>
    <t>Anti-Histamine</t>
  </si>
  <si>
    <t>Anti-Motility</t>
  </si>
  <si>
    <t>Anti-Acidity</t>
  </si>
  <si>
    <t>kit</t>
  </si>
  <si>
    <t>CBC Mindray 30D Diluent (20L/box)</t>
  </si>
  <si>
    <t>CBC Mindray Rinse (20L/box)</t>
  </si>
  <si>
    <t>CBC Mindray 30D Lyze (20L/box)</t>
  </si>
  <si>
    <t>Creatinine</t>
  </si>
  <si>
    <t>FBS</t>
  </si>
  <si>
    <t>Total Cholesterol</t>
  </si>
  <si>
    <t>Triglycerides</t>
  </si>
  <si>
    <t>HDL</t>
  </si>
  <si>
    <t>SGOT</t>
  </si>
  <si>
    <t>SGPT</t>
  </si>
  <si>
    <t>Disposable Syringe 3ml</t>
  </si>
  <si>
    <t>Disposable Syringe 5ml</t>
  </si>
  <si>
    <t>Urine Reagent Strip</t>
  </si>
  <si>
    <t>Urine Container</t>
  </si>
  <si>
    <t>Vacutainer Lavender Top</t>
  </si>
  <si>
    <t>Vacutainer Red Top</t>
  </si>
  <si>
    <t>Glass Slides</t>
  </si>
  <si>
    <t>Test Tube Plain</t>
  </si>
  <si>
    <t>Pregnancy Test</t>
  </si>
  <si>
    <t>Drug Test Kit</t>
  </si>
  <si>
    <t>HBsAg</t>
  </si>
  <si>
    <t>Alcohol 70%</t>
  </si>
  <si>
    <t>Cotton Balls</t>
  </si>
  <si>
    <t>Injection Pad</t>
  </si>
  <si>
    <t>KY Jelly</t>
  </si>
  <si>
    <t>Tongue Depressor</t>
  </si>
  <si>
    <t>X-Ray Film 1x17x100</t>
  </si>
  <si>
    <t>X-Ray Developer/Fixer</t>
  </si>
  <si>
    <t>X-Ray Fixer</t>
  </si>
  <si>
    <t>ECG Paper</t>
  </si>
  <si>
    <t>Dental Form</t>
  </si>
  <si>
    <t>Surgical Gloves Small</t>
  </si>
  <si>
    <t>Orahex Oral Antiseptic</t>
  </si>
  <si>
    <t>Disposable Face Mask</t>
  </si>
  <si>
    <t>Disposable Bib/Towel</t>
  </si>
  <si>
    <t>Cidex Solution</t>
  </si>
  <si>
    <t xml:space="preserve">X-Ray Film </t>
  </si>
  <si>
    <t>X-Ray Developer</t>
  </si>
  <si>
    <t>Tetanus Toxoid ampule/vial</t>
  </si>
  <si>
    <t>Medical Requirements for Mammogram</t>
  </si>
  <si>
    <t>U/A (Urinalysis)</t>
  </si>
  <si>
    <t>F/A (Fecalysis)</t>
  </si>
  <si>
    <t>LIPID PROFILE</t>
  </si>
  <si>
    <t>CREATININ</t>
  </si>
  <si>
    <t>BUA</t>
  </si>
  <si>
    <t>DRUG TEST</t>
  </si>
  <si>
    <t>Examination</t>
  </si>
  <si>
    <t>PE Form</t>
  </si>
  <si>
    <t>NP Requirements</t>
  </si>
  <si>
    <t>Dinner (downloaded to 20 PAMUs)   X 20</t>
  </si>
  <si>
    <t>Dinner (HPA)</t>
  </si>
  <si>
    <t>Model Supervisor of the Year</t>
  </si>
  <si>
    <t>Model Employee of the Year</t>
  </si>
  <si>
    <t>2nd Rated Supervisor</t>
  </si>
  <si>
    <t>3rd Rated Supervisor</t>
  </si>
  <si>
    <t>2nd Rated Employee</t>
  </si>
  <si>
    <t>3rd Rated Employee</t>
  </si>
  <si>
    <t>Best Muse</t>
  </si>
  <si>
    <t>Consolation Prize - Muse</t>
  </si>
  <si>
    <t>1st Prize</t>
  </si>
  <si>
    <t>2nd Prize</t>
  </si>
  <si>
    <t>3rd Prize</t>
  </si>
  <si>
    <t>4th Prize</t>
  </si>
  <si>
    <t>team</t>
  </si>
  <si>
    <t>Breakfast  (downloaded to 20 PAMUs)</t>
  </si>
  <si>
    <t>Lunch  (downloaded to 20 PAMUs)</t>
  </si>
  <si>
    <t>Breakfast</t>
  </si>
  <si>
    <t>Gatorade 500 ml</t>
  </si>
  <si>
    <t>CBC Machine</t>
  </si>
  <si>
    <t>Microscope</t>
  </si>
  <si>
    <t>Automated External Defibrillator</t>
  </si>
  <si>
    <t>Air Purifier</t>
  </si>
  <si>
    <t>UV Sterilization Trolley with Remote Control</t>
  </si>
  <si>
    <t>Bio-Refrigerator</t>
  </si>
  <si>
    <t>X-Ray Machine</t>
  </si>
  <si>
    <t>Ultrasound Machine</t>
  </si>
  <si>
    <t>Nebulizer</t>
  </si>
  <si>
    <t>Portable Sunction Pump</t>
  </si>
  <si>
    <t>Ventilator</t>
  </si>
  <si>
    <t>Urinalysis System</t>
  </si>
  <si>
    <t>ECG Machine</t>
  </si>
  <si>
    <t>Physical Theraphy Machine</t>
  </si>
  <si>
    <t>Defibrillator</t>
  </si>
  <si>
    <t>Anesthesia Machine System Display Monitor</t>
  </si>
  <si>
    <t>Anesthesia Machine Ventilator Control Monitor</t>
  </si>
  <si>
    <t>Anesthesia Machine Medical Gas Pressure Guages</t>
  </si>
  <si>
    <t>Anesthesia Machine Ultrasonic Flow Sensor</t>
  </si>
  <si>
    <t>Anesthesia Machine Vaporizer</t>
  </si>
  <si>
    <t>Payment for Fidelity Bond Premium-MCA-2.5M</t>
  </si>
  <si>
    <t>Payment for Fidelity Bond Premium-MCA-1M</t>
  </si>
  <si>
    <t>Payment for Fidelity Bond Premium-MCA-750K</t>
  </si>
  <si>
    <t>Payment for Fidelity Bond Premium-MCA-500K</t>
  </si>
  <si>
    <t>Payment for Fidelity Bond Premium-MCA-5M</t>
  </si>
  <si>
    <t>Payment for Fidelity Bond Premium-MCA-26.5M</t>
  </si>
  <si>
    <t>Payment for Fidelity Bond Premium-MCA-10M</t>
  </si>
  <si>
    <t>Payment for Fidelity Bond Premium-MCA-200K</t>
  </si>
  <si>
    <t xml:space="preserve">   Snacks AM</t>
  </si>
  <si>
    <t xml:space="preserve">   Lunch</t>
  </si>
  <si>
    <t xml:space="preserve">   Snakcs PM</t>
  </si>
  <si>
    <t xml:space="preserve">  Juice in can</t>
  </si>
  <si>
    <t>Framed Portrait</t>
  </si>
  <si>
    <t>Ladies Shawl/Scarf</t>
  </si>
  <si>
    <t>Tarpaulin (10' x 16')</t>
  </si>
  <si>
    <t xml:space="preserve">   Dinner</t>
  </si>
  <si>
    <t xml:space="preserve">   Cocktails</t>
  </si>
  <si>
    <t xml:space="preserve">   Grazing Table</t>
  </si>
  <si>
    <t xml:space="preserve">   Bottled Water </t>
  </si>
  <si>
    <t xml:space="preserve">   Soda in Can</t>
  </si>
  <si>
    <t xml:space="preserve">   Mobile Bar</t>
  </si>
  <si>
    <t xml:space="preserve">   Sushi/Ramen</t>
  </si>
  <si>
    <t xml:space="preserve">   Hot Pot</t>
  </si>
  <si>
    <t xml:space="preserve">   Flavored Drinks</t>
  </si>
  <si>
    <t xml:space="preserve">   Floral Centerpiece</t>
  </si>
  <si>
    <t xml:space="preserve">   Tarpaulin</t>
  </si>
  <si>
    <t xml:space="preserve">   Tumblers</t>
  </si>
  <si>
    <t xml:space="preserve">PM Snacks </t>
  </si>
  <si>
    <t>Mix Fruits</t>
  </si>
  <si>
    <t>Breakfast (5 Days)</t>
  </si>
  <si>
    <t>AM Snacks (5 Days)</t>
  </si>
  <si>
    <t>Lunch (5 Days)</t>
  </si>
  <si>
    <t>PM Snacks (5 Days)</t>
  </si>
  <si>
    <t>Tea / Coffee (5 Days)</t>
  </si>
  <si>
    <t>Dinner (once every quarter or 4 times)</t>
  </si>
  <si>
    <t>AM Snack (10 times)</t>
  </si>
  <si>
    <t>Lunch (10 times)</t>
  </si>
  <si>
    <t>PM Snack (10 times)</t>
  </si>
  <si>
    <t>AM Snack (3 times)</t>
  </si>
  <si>
    <t>Lunch (3 times)</t>
  </si>
  <si>
    <t>PM Snack (3 times)</t>
  </si>
  <si>
    <t>AM Snacks (12 Days)</t>
  </si>
  <si>
    <t>Lunch (12 Days)</t>
  </si>
  <si>
    <t>PM Snacks (12 Days)</t>
  </si>
  <si>
    <t xml:space="preserve">   Breakfast</t>
  </si>
  <si>
    <t xml:space="preserve">   Snacks PM</t>
  </si>
  <si>
    <t xml:space="preserve">AM Snack - Participants/SME (16 Days) </t>
  </si>
  <si>
    <t xml:space="preserve">PM Snack - Participants/SME (16 Days) </t>
  </si>
  <si>
    <t xml:space="preserve">AM Snack - Support Personnels (16 Days) </t>
  </si>
  <si>
    <t xml:space="preserve">Lunch - Support Personnels (12 Days) </t>
  </si>
  <si>
    <t xml:space="preserve">PM Snack - Support Personnels (16Days) </t>
  </si>
  <si>
    <t>Lunch during Opening Ceremony</t>
  </si>
  <si>
    <t>Lunch during CSPA Time</t>
  </si>
  <si>
    <t>Lunch during VCPA Time</t>
  </si>
  <si>
    <t>Send-Off Dinner with CGPA</t>
  </si>
  <si>
    <t>Meals and Snacks (27 Retiring Generals)</t>
  </si>
  <si>
    <t>Support to SOPB</t>
  </si>
  <si>
    <t>Meals and Snacks (24 Occasions)</t>
  </si>
  <si>
    <t xml:space="preserve">   Snacks AM (2days)</t>
  </si>
  <si>
    <t xml:space="preserve">   Lunch (2days)</t>
  </si>
  <si>
    <t xml:space="preserve">   Snacks PM (2days)</t>
  </si>
  <si>
    <t>Meals and Snacks (35 PAMUS)</t>
  </si>
  <si>
    <t>AM Snacks (6 Days)</t>
  </si>
  <si>
    <t>Early Lunch (6 Days)</t>
  </si>
  <si>
    <t>PM Snacks (6 Days)</t>
  </si>
  <si>
    <t>AM Snack (5 meetings)</t>
  </si>
  <si>
    <t>Lunch (5 meetings)</t>
  </si>
  <si>
    <t>PM Snack (5 meetings)</t>
  </si>
  <si>
    <t>Dinner (5 meetings)</t>
  </si>
  <si>
    <t>Rental of Venue- Ricarte Hall (3 Occasions)</t>
  </si>
  <si>
    <t xml:space="preserve">ICT Software </t>
  </si>
  <si>
    <t>Meals and Snacks (1 Occasion)</t>
  </si>
  <si>
    <t xml:space="preserve">   Snacks</t>
  </si>
  <si>
    <t xml:space="preserve">   Coffee</t>
  </si>
  <si>
    <t>Juice in can</t>
  </si>
  <si>
    <t>Meals and Snacks (27 Retirees)</t>
  </si>
  <si>
    <t xml:space="preserve">   Barbecue</t>
  </si>
  <si>
    <t>AM Snacks (4days)</t>
  </si>
  <si>
    <t>Lunch (4days)</t>
  </si>
  <si>
    <t>PM Snacks (4days)</t>
  </si>
  <si>
    <t>Colored Xerox Copy of Map (Land Nav)</t>
  </si>
  <si>
    <t>HHSBN (153 Officers/ 967 EP)</t>
  </si>
  <si>
    <t xml:space="preserve">ICT Office Supplies (9 Occasions) </t>
  </si>
  <si>
    <t>Pentel Pen (50 students/pentel pen)</t>
  </si>
  <si>
    <t>Long Envelope Brown</t>
  </si>
  <si>
    <t>X-Ray Envelop (100 pcs/pack)</t>
  </si>
  <si>
    <t>Bond Paper (Long) (500 pcs/ream)</t>
  </si>
  <si>
    <t>Advertisement/Info Drive</t>
  </si>
  <si>
    <t>Yellow Pad Paper</t>
  </si>
  <si>
    <t>Envelope</t>
  </si>
  <si>
    <t>Folders</t>
  </si>
  <si>
    <t>rm</t>
  </si>
  <si>
    <t>Staple Wires</t>
  </si>
  <si>
    <t>NP Screening (153 Officers/967 EP)</t>
  </si>
  <si>
    <t>Mobilization (153 Officers/ 967EP)</t>
  </si>
  <si>
    <t>PME (153 Officers/ 967EP)</t>
  </si>
  <si>
    <t xml:space="preserve">PACSVIT </t>
  </si>
  <si>
    <t>Mefanamic</t>
  </si>
  <si>
    <t>Mindray 30D Diluent (20L/box)</t>
  </si>
  <si>
    <t>Mindray Rinse (20L/box)</t>
  </si>
  <si>
    <t>Mindray 30D Lyze(500mL/box)</t>
  </si>
  <si>
    <t>Creatinine (5 bottle/box, 55 ml/bottle)</t>
  </si>
  <si>
    <t>FBS (10 bottles/box, 44ml/bottle)</t>
  </si>
  <si>
    <t>HBsAg (40test/box)</t>
  </si>
  <si>
    <t>Drug Test Kit (25 kits/pack)</t>
  </si>
  <si>
    <t>Pregnancy Test (for female)</t>
  </si>
  <si>
    <t>Test Tube Plain (100pcs/box)</t>
  </si>
  <si>
    <t>Glass Slides (72pcs/box)</t>
  </si>
  <si>
    <t>Vacutainer Red Top (100pcs/box)</t>
  </si>
  <si>
    <t>Vacutainer Lavender Top (100pcs/box)</t>
  </si>
  <si>
    <t>Urine Container (for routine urinalysis &amp; drug test)</t>
  </si>
  <si>
    <t>Urine Reagent Strip (100pcs/box)</t>
  </si>
  <si>
    <t>Disposable Syringe 5ml (100pcs/box)</t>
  </si>
  <si>
    <t>Disposable Syringe 3ml (100pcs/box)</t>
  </si>
  <si>
    <t>SGPT (330ml mixtures)</t>
  </si>
  <si>
    <t>SGOT (330ml mixtures)</t>
  </si>
  <si>
    <t>Total Cholesterol (10 bottles/box, 44ml/bottle)</t>
  </si>
  <si>
    <t>Triglycerides (10 bottles/box, 44ml/bottle)</t>
  </si>
  <si>
    <t>HDL (160ml mixtures)</t>
  </si>
  <si>
    <t>Dental form</t>
  </si>
  <si>
    <t>X-Ray Fixer (500ml/bottle)</t>
  </si>
  <si>
    <t>X-Ray Developer (500ml/bottle)</t>
  </si>
  <si>
    <t>X-Ray Film (100 film/pack)</t>
  </si>
  <si>
    <t>Cotton Balls (300pcs/pack)</t>
  </si>
  <si>
    <t>Disposable Bib/Towel (100pcs/box)</t>
  </si>
  <si>
    <t>Alcohol 70% (500ml/bottle)</t>
  </si>
  <si>
    <t>Disposable Face Mask (50 pcs/box)</t>
  </si>
  <si>
    <t>Orahex Oral Antiseptic (500ml/bottle)</t>
  </si>
  <si>
    <t>Cotton Balls (300ball/pack)</t>
  </si>
  <si>
    <t>Injection Pad (100 pcs/box)</t>
  </si>
  <si>
    <t>KY Jelly (180gm/tube)</t>
  </si>
  <si>
    <t>Tongue Depressor (100pcs/box)</t>
  </si>
  <si>
    <t>Examining Gloves (100pcs/box)</t>
  </si>
  <si>
    <t>EQ Test</t>
  </si>
  <si>
    <t>Personality Test</t>
  </si>
  <si>
    <t>Cognitive Test</t>
  </si>
  <si>
    <t>Mayor Clearance</t>
  </si>
  <si>
    <t>Municipal Trial Court (MTC)</t>
  </si>
  <si>
    <t>Regional Trial Court (RTC)</t>
  </si>
  <si>
    <t>Coffee 3-in-1</t>
  </si>
  <si>
    <t>bags</t>
  </si>
  <si>
    <t>Stirrers</t>
  </si>
  <si>
    <t>Pineapple Juice (Can)</t>
  </si>
  <si>
    <t>Soft drinks (Can)</t>
  </si>
  <si>
    <t>Cupcakes</t>
  </si>
  <si>
    <t>NP Screening</t>
  </si>
  <si>
    <t>PME Revalidation</t>
  </si>
  <si>
    <t>PME</t>
  </si>
  <si>
    <t>Banana Bread</t>
  </si>
  <si>
    <t>PACSVIT</t>
  </si>
  <si>
    <t>Initial PME Food stuff</t>
  </si>
  <si>
    <t>Meal Support for Deliberation (Initial &amp; Final)</t>
  </si>
  <si>
    <t>Mobilization</t>
  </si>
  <si>
    <t>Lunch (AM)</t>
  </si>
  <si>
    <t>Workstation Computer</t>
  </si>
  <si>
    <t>Sophos VPN</t>
  </si>
  <si>
    <t>Tablet (11Inches display) with pen</t>
  </si>
  <si>
    <t>Tablet</t>
  </si>
  <si>
    <t>Flash Disk (16GB)</t>
  </si>
  <si>
    <t>Transparency Film (A4)</t>
  </si>
  <si>
    <t>Sliding Folder, Clear</t>
  </si>
  <si>
    <t>Sliding Folder, Green</t>
  </si>
  <si>
    <t>Command Plaque</t>
  </si>
  <si>
    <t>Plaque of Appreciation</t>
  </si>
  <si>
    <t>Plaque of Honorable Service</t>
  </si>
  <si>
    <t>Brass Plate</t>
  </si>
  <si>
    <t>Procurement of Plaques and Medals</t>
  </si>
  <si>
    <t>Plaque of Recognition</t>
  </si>
  <si>
    <t>Distinguished Service Star (DSS)</t>
  </si>
  <si>
    <t>Distinguished Service Medal (DSM)</t>
  </si>
  <si>
    <t>Meritorious Achievement Medal</t>
  </si>
  <si>
    <t>Combat Commander (Kagitingan Badge)</t>
  </si>
  <si>
    <t>Military Merit Medal (MMM)</t>
  </si>
  <si>
    <t>Bronze Cross Medal</t>
  </si>
  <si>
    <t>Gold Cross Medal</t>
  </si>
  <si>
    <t>Army Saber</t>
  </si>
  <si>
    <r>
      <rPr>
        <b/>
        <sz val="11"/>
        <rFont val="Arial"/>
        <family val="2"/>
      </rPr>
      <t>PACHRMPSB</t>
    </r>
    <r>
      <rPr>
        <sz val="11"/>
        <rFont val="Arial"/>
        <family val="2"/>
      </rPr>
      <t xml:space="preserve"> Deliberation (1st Quarter)</t>
    </r>
  </si>
  <si>
    <r>
      <rPr>
        <b/>
        <sz val="11"/>
        <rFont val="Arial"/>
        <family val="2"/>
      </rPr>
      <t>PRAISE Committee</t>
    </r>
    <r>
      <rPr>
        <sz val="11"/>
        <rFont val="Arial"/>
        <family val="2"/>
      </rPr>
      <t xml:space="preserve"> Deliberation (1st Quarter)</t>
    </r>
  </si>
  <si>
    <r>
      <rPr>
        <b/>
        <sz val="11"/>
        <rFont val="Arial"/>
        <family val="2"/>
      </rPr>
      <t>Learning &amp; Development Board</t>
    </r>
    <r>
      <rPr>
        <sz val="11"/>
        <rFont val="Arial"/>
        <family val="2"/>
      </rPr>
      <t xml:space="preserve"> (1st Quarter)</t>
    </r>
  </si>
  <si>
    <r>
      <rPr>
        <b/>
        <sz val="11"/>
        <rFont val="Arial"/>
        <family val="2"/>
      </rPr>
      <t>Performance Management Team</t>
    </r>
    <r>
      <rPr>
        <sz val="11"/>
        <rFont val="Arial"/>
        <family val="2"/>
      </rPr>
      <t xml:space="preserve"> (1st Quarter)</t>
    </r>
  </si>
  <si>
    <t>DATE: Dec 21 2023</t>
  </si>
  <si>
    <t>PHILIPPINE ARMY</t>
  </si>
  <si>
    <t>HPAG1</t>
  </si>
  <si>
    <t>For Bonifacio, Metro Manila</t>
  </si>
  <si>
    <t>Oath-taking of Newly Promoted Generals and Call to CGPA</t>
  </si>
  <si>
    <t>ROGELIO S VELANO</t>
  </si>
  <si>
    <t>RHODERICK L PARALLAG</t>
  </si>
  <si>
    <t>MAJ        (FS)        PA</t>
  </si>
  <si>
    <t>COL     MNSA     (INF)    PA</t>
  </si>
  <si>
    <t>Chief, PBB, OG1, PA</t>
  </si>
  <si>
    <t>AC of S for Pers, G1</t>
  </si>
  <si>
    <t>Meals and Snacks  (3 Occasions)</t>
  </si>
  <si>
    <t>Office Supplies (1,040 Quota Allocation/ 2 Occasions)</t>
  </si>
  <si>
    <t>Drugs and Medicines (4 Occasions)</t>
  </si>
  <si>
    <t>Bond Paper (4 Occasions)</t>
  </si>
  <si>
    <t>Ink Tank 315 Black</t>
  </si>
  <si>
    <t>Ink Tank 315 Magenta</t>
  </si>
  <si>
    <t>Ink Tank 315 Cyan</t>
  </si>
  <si>
    <t>Ink Tank 315 Yellow</t>
  </si>
  <si>
    <t>L3150 Cartridge Black</t>
  </si>
  <si>
    <t>L3150 Cartridge Colored</t>
  </si>
  <si>
    <t>Printer Ink 680 Black</t>
  </si>
  <si>
    <t>Printer Ink 680 Colored</t>
  </si>
  <si>
    <t>External Hardrive (1TB)</t>
  </si>
  <si>
    <t>Portable Printer L3110 Ink (black)</t>
  </si>
  <si>
    <t>Portable Printer L3110 Ink (cyan)</t>
  </si>
  <si>
    <t>Portable Printer L3110 Ink (yellow)</t>
  </si>
  <si>
    <t>Portable Printer L3110 Ink (magenta)</t>
  </si>
  <si>
    <t>vial</t>
  </si>
  <si>
    <t>Medical, Dental &amp; Laboratory Supplies (4 Occasions)</t>
  </si>
  <si>
    <t>Meals and Snacks (6 Occasions)</t>
  </si>
  <si>
    <t>Meals and Snacks (9 Occasions)</t>
  </si>
  <si>
    <t xml:space="preserve"> </t>
  </si>
  <si>
    <t>Meals and Snacks (30 Occasions)</t>
  </si>
  <si>
    <t>Mixed Fruits with Bottled Juice (32 pax/9 Occasions)</t>
  </si>
  <si>
    <t>Ink  Black</t>
  </si>
  <si>
    <t>Ink  Tri-Color</t>
  </si>
  <si>
    <t>Ambu bag, silicon resuscitator, adult (autoclavable)</t>
  </si>
  <si>
    <t>Head lamp, led light</t>
  </si>
  <si>
    <t xml:space="preserve">Laryngoscope with blade, adult </t>
  </si>
  <si>
    <t>Litter, ordinary (canvassed stretcher, folding)</t>
  </si>
  <si>
    <t xml:space="preserve">Minor Surgical Set w/ sterilizer tray </t>
  </si>
  <si>
    <t>Oxygen tank, portable (small)</t>
  </si>
  <si>
    <t>Oxygen regulator w/ gauge/flowmeter and humidifier</t>
  </si>
  <si>
    <t xml:space="preserve">Stethoscope </t>
  </si>
  <si>
    <t>Sphygmomanometer, aneroid</t>
  </si>
  <si>
    <t>Suction pump machine, portable heavy duty w/ suction catheter</t>
  </si>
  <si>
    <t>Medical Cot bed</t>
  </si>
  <si>
    <t>Transport Defibrillator with battery</t>
  </si>
  <si>
    <t>Traction Splint</t>
  </si>
  <si>
    <t>Moldable Splint</t>
  </si>
  <si>
    <t>Spinal Board</t>
  </si>
  <si>
    <t>Cervical Collar/Neck Brace</t>
  </si>
  <si>
    <t>Intubation Kit</t>
  </si>
  <si>
    <t>Head lamp, LED light</t>
  </si>
  <si>
    <t>Laryngoscope with blade, adult</t>
  </si>
  <si>
    <t>Minor Surgical Set w/ sterilizer tray</t>
  </si>
  <si>
    <t>Philippine Army</t>
  </si>
  <si>
    <t>DATE: Dec 22 2023</t>
  </si>
  <si>
    <t>Annual Procurement Plan (APP) FY 2024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</si>
  <si>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</si>
  <si>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</si>
  <si>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</si>
  <si>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</si>
  <si>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</si>
  <si>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</si>
  <si>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</si>
  <si>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 Post of ID/BEI</t>
  </si>
  <si>
    <t>Sub/ 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</si>
  <si>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</si>
  <si>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</si>
  <si>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</si>
  <si>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</si>
  <si>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</si>
  <si>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</si>
  <si>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</si>
  <si>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 xml:space="preserve">Feb-Oct 24 </t>
  </si>
  <si>
    <t xml:space="preserve">Feb-Dec 24 </t>
  </si>
  <si>
    <t>2024-General Appropriations Act</t>
  </si>
  <si>
    <t>Project /Program to be Implemented from 1st Qtr to 4th Qtr CY 2024</t>
  </si>
  <si>
    <t>Procurement Requirements for CY 2024</t>
  </si>
  <si>
    <t>Jan-Nov 24</t>
  </si>
  <si>
    <t>Jan-Dec 24</t>
  </si>
  <si>
    <t>Jan-Nov 25</t>
  </si>
  <si>
    <t>Jan-Nov 26</t>
  </si>
  <si>
    <t>Jan-Nov 27</t>
  </si>
  <si>
    <t>Jan-Nov 28</t>
  </si>
  <si>
    <t>Jan-Nov 29</t>
  </si>
  <si>
    <t>Jan-Nov 30</t>
  </si>
  <si>
    <t>Jan-Nov 31</t>
  </si>
  <si>
    <t>Jan-Nov 32</t>
  </si>
  <si>
    <t>Jan-Nov 33</t>
  </si>
  <si>
    <t>Jan-Nov 34</t>
  </si>
  <si>
    <t>Jan-Nov 35</t>
  </si>
  <si>
    <t>Jan-Nov 36</t>
  </si>
  <si>
    <t>Jan-Nov 37</t>
  </si>
  <si>
    <t>Jan-Nov 38</t>
  </si>
  <si>
    <t>Jan-Nov 39</t>
  </si>
  <si>
    <t>Jan-Nov 40</t>
  </si>
  <si>
    <t>Jan-Nov 41</t>
  </si>
  <si>
    <t>Jan-Nov 42</t>
  </si>
  <si>
    <t>Jan-Nov 43</t>
  </si>
  <si>
    <t>Jan-Nov 44</t>
  </si>
  <si>
    <t>Jan-Nov 45</t>
  </si>
  <si>
    <t>Jan-Nov 46</t>
  </si>
  <si>
    <t>Jan-Nov 47</t>
  </si>
  <si>
    <t>Jan-Nov 48</t>
  </si>
  <si>
    <t>Jan-Nov 49</t>
  </si>
  <si>
    <t>Jan-Nov 50</t>
  </si>
  <si>
    <t>Jan-Nov 51</t>
  </si>
  <si>
    <t>Jan-Nov 52</t>
  </si>
  <si>
    <t>Jan-Nov 53</t>
  </si>
  <si>
    <t>Jan-Nov 54</t>
  </si>
  <si>
    <t>Jan-Oct 24</t>
  </si>
  <si>
    <t>Mar-Dec 24</t>
  </si>
  <si>
    <t>Apr-Dec 24</t>
  </si>
  <si>
    <t>Apr-Jul 24</t>
  </si>
  <si>
    <t>Apr-Nov 24</t>
  </si>
  <si>
    <t>Mar-Sep 24</t>
  </si>
  <si>
    <t>Suppport to SOPB</t>
  </si>
  <si>
    <t>Rents-Building and Structures</t>
  </si>
  <si>
    <t>Jan-Jul 24</t>
  </si>
  <si>
    <t>Recommended By:</t>
  </si>
  <si>
    <t>RHODERICK  L   PARALLAG</t>
  </si>
  <si>
    <t>ANTONIO  C  ROTA  JR</t>
  </si>
  <si>
    <t>ROY         M        GALIDO</t>
  </si>
  <si>
    <t>COL       MNSA     (INF)      PA</t>
  </si>
  <si>
    <t>Bgen       General      PA</t>
  </si>
  <si>
    <t>Lieutenant    General   PA</t>
  </si>
  <si>
    <t>Chairperson, PABAC 1</t>
  </si>
  <si>
    <t>Commanding General</t>
  </si>
  <si>
    <t>Summary of Program of Implementation</t>
  </si>
  <si>
    <t>DATE: 21 Dec 2023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</si>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</sst>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 &quot;* #,##0.00&quot; &quot;;&quot; &quot;* \(#,##0.00\);&quot; &quot;* &quot;-&quot;??&quot; &quot;"/>
    <numFmt numFmtId="168" formatCode="_-* #,##0.00_-;\-* #,##0.00_-;_-* &quot;-&quot;??_-;_-@"/>
    <numFmt numFmtId="169" formatCode="#,##0.000"/>
    <numFmt numFmtId="170" formatCode="0.00_);[Red]\(0.00\)"/>
    <numFmt numFmtId="171" formatCode="#,##0.000000000;[Red]\-#,##0.000000000"/>
    <numFmt numFmtId="172" formatCode="_(* #,##0.00000_);_(* \(#,##0.00000\);_(* &quot;-&quot;??_);_(@_)"/>
    <numFmt numFmtId="173" formatCode="#,##0.0000_);[Red]\(#,##0.0000\)"/>
    <numFmt numFmtId="174" formatCode="#,##0.00_ ;[Red]\-#,##0.00\ "/>
    <numFmt numFmtId="175" formatCode="#,##0.000000000_ ;[Red]\-#,##0.000000000\ "/>
    <numFmt numFmtId="176" formatCode="_(* #,##0.0000_);_(* \(#,##0.0000\);_(* &quot;-&quot;??_);_(@_)"/>
    <numFmt numFmtId="177" formatCode="#,##0.0000000_);[Red]\(#,##0.0000000\)"/>
    <numFmt numFmtId="178" formatCode="0.0000"/>
    <numFmt numFmtId="179" formatCode="_(* #,##0.00000000_);_(* \(#,##0.00000000\);_(* &quot;-&quot;??_);_(@_)"/>
    <numFmt numFmtId="180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1"/>
    <xf numFmtId="4" fontId="2" fillId="0" borderId="1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1" applyFont="0" applyFill="0" applyBorder="0" applyAlignment="0" applyProtection="0">
      <alignment vertical="center"/>
    </xf>
    <xf numFmtId="165" fontId="4" fillId="0" borderId="1" applyFont="0" applyFill="0" applyBorder="0" applyAlignment="0" applyProtection="0"/>
    <xf numFmtId="43" fontId="4" fillId="0" borderId="1" applyFont="0" applyFill="0" applyBorder="0" applyAlignment="0" applyProtection="0"/>
    <xf numFmtId="0" fontId="4" fillId="0" borderId="1">
      <alignment vertical="center"/>
    </xf>
    <xf numFmtId="0" fontId="3" fillId="0" borderId="1"/>
    <xf numFmtId="165" fontId="4" fillId="0" borderId="1" applyFont="0" applyFill="0" applyBorder="0" applyAlignment="0" applyProtection="0"/>
  </cellStyleXfs>
  <cellXfs count="281">
    <xf numFmtId="0" fontId="0" fillId="0" borderId="0" xfId="0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/>
    </xf>
    <xf numFmtId="43" fontId="6" fillId="0" borderId="2" xfId="5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right" vertical="center"/>
    </xf>
    <xf numFmtId="165" fontId="6" fillId="0" borderId="2" xfId="3" applyFont="1" applyBorder="1" applyAlignment="1">
      <alignment horizontal="right" vertical="center" wrapText="1"/>
    </xf>
    <xf numFmtId="0" fontId="7" fillId="0" borderId="2" xfId="8" applyFont="1" applyBorder="1" applyAlignment="1">
      <alignment vertical="center" wrapText="1"/>
    </xf>
    <xf numFmtId="0" fontId="7" fillId="0" borderId="2" xfId="8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9" fontId="6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0" fontId="5" fillId="0" borderId="2" xfId="8" applyFont="1" applyBorder="1" applyAlignment="1">
      <alignment horizontal="center" vertical="center" wrapText="1"/>
    </xf>
    <xf numFmtId="43" fontId="5" fillId="0" borderId="2" xfId="5" applyFont="1" applyBorder="1" applyAlignment="1">
      <alignment horizontal="right" vertical="center" wrapText="1"/>
    </xf>
    <xf numFmtId="39" fontId="5" fillId="0" borderId="2" xfId="0" applyNumberFormat="1" applyFont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center" vertical="center" wrapText="1"/>
    </xf>
    <xf numFmtId="43" fontId="5" fillId="0" borderId="2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5" fillId="4" borderId="2" xfId="5" applyFont="1" applyFill="1" applyBorder="1" applyAlignment="1">
      <alignment horizontal="right" vertical="center" wrapText="1"/>
    </xf>
    <xf numFmtId="0" fontId="5" fillId="0" borderId="2" xfId="8" applyFont="1" applyBorder="1" applyAlignment="1">
      <alignment vertical="center" wrapText="1"/>
    </xf>
    <xf numFmtId="170" fontId="5" fillId="0" borderId="2" xfId="8" applyNumberFormat="1" applyFont="1" applyBorder="1" applyAlignment="1">
      <alignment horizontal="right" vertical="center" wrapText="1"/>
    </xf>
    <xf numFmtId="43" fontId="5" fillId="0" borderId="2" xfId="5" applyFont="1" applyBorder="1" applyAlignment="1">
      <alignment vertical="center"/>
    </xf>
    <xf numFmtId="4" fontId="5" fillId="0" borderId="2" xfId="8" applyNumberFormat="1" applyFont="1" applyBorder="1" applyAlignment="1">
      <alignment horizontal="right" vertical="center" wrapText="1"/>
    </xf>
    <xf numFmtId="43" fontId="6" fillId="0" borderId="2" xfId="5" applyFont="1" applyBorder="1" applyAlignment="1">
      <alignment horizontal="right" vertical="center" wrapText="1"/>
    </xf>
    <xf numFmtId="43" fontId="7" fillId="0" borderId="2" xfId="5" applyFont="1" applyBorder="1" applyAlignment="1">
      <alignment horizontal="right" vertical="center" wrapText="1"/>
    </xf>
    <xf numFmtId="43" fontId="5" fillId="0" borderId="2" xfId="5" applyFont="1" applyBorder="1" applyAlignment="1">
      <alignment horizontal="right" vertical="center"/>
    </xf>
    <xf numFmtId="165" fontId="5" fillId="0" borderId="2" xfId="3" applyFont="1" applyBorder="1" applyAlignment="1">
      <alignment horizontal="right" vertical="center" wrapText="1"/>
    </xf>
    <xf numFmtId="165" fontId="5" fillId="0" borderId="2" xfId="3" applyFont="1" applyBorder="1" applyAlignment="1">
      <alignment horizontal="right" vertical="center"/>
    </xf>
    <xf numFmtId="165" fontId="5" fillId="0" borderId="2" xfId="3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170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49" fontId="7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8" applyFont="1" applyBorder="1">
      <alignment vertical="center"/>
    </xf>
    <xf numFmtId="40" fontId="5" fillId="0" borderId="2" xfId="0" applyNumberFormat="1" applyFont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vertical="center"/>
    </xf>
    <xf numFmtId="17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right" vertical="center"/>
    </xf>
    <xf numFmtId="173" fontId="5" fillId="0" borderId="2" xfId="0" applyNumberFormat="1" applyFont="1" applyBorder="1" applyAlignment="1">
      <alignment horizontal="center" vertical="center"/>
    </xf>
    <xf numFmtId="172" fontId="5" fillId="0" borderId="2" xfId="3" applyNumberFormat="1" applyFont="1" applyBorder="1" applyAlignment="1">
      <alignment horizontal="center" vertical="center"/>
    </xf>
    <xf numFmtId="175" fontId="5" fillId="0" borderId="2" xfId="0" applyNumberFormat="1" applyFont="1" applyBorder="1" applyAlignment="1">
      <alignment horizontal="center" vertical="center"/>
    </xf>
    <xf numFmtId="0" fontId="5" fillId="0" borderId="2" xfId="8" applyFont="1" applyBorder="1" applyAlignment="1">
      <alignment horizontal="justify" vertical="center" wrapText="1"/>
    </xf>
    <xf numFmtId="0" fontId="5" fillId="0" borderId="2" xfId="8" applyFont="1" applyBorder="1" applyAlignment="1">
      <alignment horizontal="left" vertical="center" wrapText="1"/>
    </xf>
    <xf numFmtId="43" fontId="5" fillId="0" borderId="2" xfId="5" applyFont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7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37" fontId="9" fillId="2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165" fontId="5" fillId="0" borderId="2" xfId="6" applyFont="1" applyBorder="1" applyAlignment="1">
      <alignment horizontal="right" vertical="center" wrapText="1"/>
    </xf>
    <xf numFmtId="17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3" fontId="7" fillId="0" borderId="2" xfId="7" applyFont="1" applyBorder="1" applyAlignment="1">
      <alignment horizontal="right" vertical="center" wrapText="1"/>
    </xf>
    <xf numFmtId="166" fontId="5" fillId="0" borderId="2" xfId="4" applyNumberFormat="1" applyFont="1" applyBorder="1" applyAlignment="1">
      <alignment horizontal="right" vertical="center" wrapText="1"/>
    </xf>
    <xf numFmtId="165" fontId="5" fillId="0" borderId="2" xfId="6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3" fontId="5" fillId="0" borderId="2" xfId="7" applyFont="1" applyFill="1" applyBorder="1" applyAlignment="1">
      <alignment horizontal="right" vertical="center" wrapText="1"/>
    </xf>
    <xf numFmtId="165" fontId="5" fillId="0" borderId="2" xfId="6" applyFont="1" applyFill="1" applyBorder="1" applyAlignment="1">
      <alignment horizontal="right" vertical="center"/>
    </xf>
    <xf numFmtId="165" fontId="5" fillId="0" borderId="2" xfId="6" applyFont="1" applyFill="1" applyBorder="1" applyAlignment="1">
      <alignment horizontal="right" vertical="center" wrapText="1"/>
    </xf>
    <xf numFmtId="43" fontId="7" fillId="0" borderId="2" xfId="0" applyNumberFormat="1" applyFont="1" applyBorder="1" applyAlignment="1">
      <alignment horizontal="right" vertical="center" wrapText="1"/>
    </xf>
    <xf numFmtId="37" fontId="9" fillId="0" borderId="2" xfId="0" applyNumberFormat="1" applyFont="1" applyBorder="1" applyAlignment="1">
      <alignment horizontal="center" vertical="center"/>
    </xf>
    <xf numFmtId="168" fontId="7" fillId="0" borderId="2" xfId="0" applyNumberFormat="1" applyFont="1" applyBorder="1" applyAlignment="1">
      <alignment horizontal="right" vertical="center"/>
    </xf>
    <xf numFmtId="43" fontId="5" fillId="0" borderId="2" xfId="7" applyFont="1" applyBorder="1" applyAlignment="1">
      <alignment horizontal="right" vertical="center" wrapText="1"/>
    </xf>
    <xf numFmtId="165" fontId="7" fillId="0" borderId="2" xfId="6" applyFont="1" applyBorder="1" applyAlignment="1">
      <alignment horizontal="right" vertical="center"/>
    </xf>
    <xf numFmtId="165" fontId="6" fillId="0" borderId="2" xfId="6" applyFont="1" applyBorder="1" applyAlignment="1">
      <alignment horizontal="right" vertical="center"/>
    </xf>
    <xf numFmtId="0" fontId="5" fillId="0" borderId="2" xfId="9" applyFont="1" applyBorder="1" applyAlignment="1">
      <alignment vertical="center"/>
    </xf>
    <xf numFmtId="0" fontId="5" fillId="0" borderId="2" xfId="9" applyFont="1" applyBorder="1" applyAlignment="1">
      <alignment horizontal="center" vertical="center"/>
    </xf>
    <xf numFmtId="43" fontId="5" fillId="0" borderId="2" xfId="7" applyFont="1" applyBorder="1" applyAlignment="1">
      <alignment horizontal="right" vertical="center"/>
    </xf>
    <xf numFmtId="0" fontId="6" fillId="0" borderId="2" xfId="9" applyFont="1" applyBorder="1" applyAlignment="1">
      <alignment horizontal="center" vertical="center"/>
    </xf>
    <xf numFmtId="165" fontId="6" fillId="0" borderId="2" xfId="9" applyNumberFormat="1" applyFont="1" applyBorder="1" applyAlignment="1">
      <alignment horizontal="right" vertical="center"/>
    </xf>
    <xf numFmtId="39" fontId="7" fillId="0" borderId="2" xfId="0" applyNumberFormat="1" applyFont="1" applyBorder="1" applyAlignment="1">
      <alignment horizontal="right" vertical="center" wrapText="1"/>
    </xf>
    <xf numFmtId="165" fontId="6" fillId="0" borderId="2" xfId="3" applyFont="1" applyFill="1" applyBorder="1" applyAlignment="1">
      <alignment horizontal="right" vertical="center"/>
    </xf>
    <xf numFmtId="165" fontId="6" fillId="0" borderId="2" xfId="3" applyFont="1" applyBorder="1" applyAlignment="1">
      <alignment horizontal="right" vertical="center"/>
    </xf>
    <xf numFmtId="0" fontId="10" fillId="4" borderId="2" xfId="9" applyFont="1" applyFill="1" applyBorder="1" applyAlignment="1">
      <alignment horizontal="left" vertical="center" wrapText="1"/>
    </xf>
    <xf numFmtId="0" fontId="10" fillId="4" borderId="2" xfId="9" applyFont="1" applyFill="1" applyBorder="1" applyAlignment="1">
      <alignment horizontal="center" vertical="center" wrapText="1"/>
    </xf>
    <xf numFmtId="43" fontId="10" fillId="4" borderId="2" xfId="5" applyFont="1" applyFill="1" applyBorder="1" applyAlignment="1">
      <alignment horizontal="right" vertical="center" wrapText="1"/>
    </xf>
    <xf numFmtId="4" fontId="7" fillId="0" borderId="2" xfId="6" applyNumberFormat="1" applyFont="1" applyBorder="1" applyAlignment="1">
      <alignment horizontal="right" vertical="center" wrapText="1"/>
    </xf>
    <xf numFmtId="2" fontId="7" fillId="0" borderId="2" xfId="6" applyNumberFormat="1" applyFont="1" applyFill="1" applyBorder="1" applyAlignment="1">
      <alignment horizontal="right" vertical="center" wrapText="1"/>
    </xf>
    <xf numFmtId="37" fontId="7" fillId="0" borderId="2" xfId="0" applyNumberFormat="1" applyFont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1" fontId="7" fillId="4" borderId="2" xfId="0" applyNumberFormat="1" applyFont="1" applyFill="1" applyBorder="1" applyAlignment="1">
      <alignment horizontal="center" vertical="center"/>
    </xf>
    <xf numFmtId="4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0" borderId="2" xfId="9" applyFont="1" applyBorder="1" applyAlignment="1">
      <alignment vertical="center"/>
    </xf>
    <xf numFmtId="39" fontId="6" fillId="0" borderId="2" xfId="7" applyNumberFormat="1" applyFont="1" applyFill="1" applyBorder="1" applyAlignment="1">
      <alignment horizontal="right" vertical="center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/>
    </xf>
    <xf numFmtId="39" fontId="7" fillId="0" borderId="2" xfId="0" applyNumberFormat="1" applyFont="1" applyBorder="1" applyAlignment="1">
      <alignment horizontal="right" vertical="center"/>
    </xf>
    <xf numFmtId="0" fontId="5" fillId="0" borderId="2" xfId="9" applyFont="1" applyBorder="1" applyAlignment="1">
      <alignment horizontal="left" vertical="center"/>
    </xf>
    <xf numFmtId="43" fontId="7" fillId="0" borderId="2" xfId="5" applyFont="1" applyBorder="1" applyAlignment="1">
      <alignment horizontal="center" vertical="center" wrapText="1"/>
    </xf>
    <xf numFmtId="43" fontId="7" fillId="0" borderId="2" xfId="5" applyFont="1" applyFill="1" applyBorder="1" applyAlignment="1">
      <alignment horizontal="center" vertical="center" wrapText="1"/>
    </xf>
    <xf numFmtId="43" fontId="6" fillId="0" borderId="2" xfId="5" applyFont="1" applyFill="1" applyBorder="1" applyAlignment="1">
      <alignment horizontal="right" vertical="center" wrapText="1"/>
    </xf>
    <xf numFmtId="39" fontId="6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3" fontId="7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7" fillId="0" borderId="2" xfId="8" applyNumberFormat="1" applyFont="1" applyBorder="1">
      <alignment vertical="center"/>
    </xf>
    <xf numFmtId="0" fontId="5" fillId="0" borderId="2" xfId="0" applyFont="1" applyBorder="1" applyAlignment="1">
      <alignment horizontal="justify" vertical="center" wrapText="1"/>
    </xf>
    <xf numFmtId="2" fontId="5" fillId="0" borderId="2" xfId="0" applyNumberFormat="1" applyFont="1" applyBorder="1" applyAlignment="1">
      <alignment horizontal="right" vertical="center" wrapText="1"/>
    </xf>
    <xf numFmtId="43" fontId="5" fillId="0" borderId="2" xfId="7" applyFont="1" applyFill="1" applyBorder="1" applyAlignment="1">
      <alignment horizontal="right" vertical="center"/>
    </xf>
    <xf numFmtId="43" fontId="5" fillId="0" borderId="2" xfId="5" applyFont="1" applyFill="1" applyBorder="1" applyAlignment="1">
      <alignment horizontal="right" vertical="center"/>
    </xf>
    <xf numFmtId="39" fontId="6" fillId="0" borderId="2" xfId="7" applyNumberFormat="1" applyFont="1" applyBorder="1" applyAlignment="1">
      <alignment horizontal="right" vertical="center"/>
    </xf>
    <xf numFmtId="0" fontId="9" fillId="6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7" fontId="8" fillId="6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7" fontId="7" fillId="0" borderId="2" xfId="0" applyNumberFormat="1" applyFont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40" fontId="9" fillId="2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 wrapText="1"/>
    </xf>
    <xf numFmtId="165" fontId="9" fillId="3" borderId="2" xfId="3" applyFont="1" applyFill="1" applyBorder="1" applyAlignment="1">
      <alignment horizontal="right" vertical="center" wrapText="1"/>
    </xf>
    <xf numFmtId="40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Border="1" applyAlignment="1">
      <alignment horizontal="right" vertical="center"/>
    </xf>
    <xf numFmtId="40" fontId="9" fillId="3" borderId="2" xfId="0" applyNumberFormat="1" applyFont="1" applyFill="1" applyBorder="1" applyAlignment="1">
      <alignment horizontal="right" vertical="center"/>
    </xf>
    <xf numFmtId="167" fontId="7" fillId="4" borderId="2" xfId="0" applyNumberFormat="1" applyFont="1" applyFill="1" applyBorder="1" applyAlignment="1">
      <alignment horizontal="right" vertical="center"/>
    </xf>
    <xf numFmtId="43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4" fontId="7" fillId="0" borderId="2" xfId="8" applyNumberFormat="1" applyFont="1" applyBorder="1" applyAlignment="1">
      <alignment horizontal="right" vertical="center" wrapText="1"/>
    </xf>
    <xf numFmtId="43" fontId="5" fillId="4" borderId="2" xfId="5" applyFont="1" applyFill="1" applyBorder="1" applyAlignment="1">
      <alignment horizontal="right" vertical="center"/>
    </xf>
    <xf numFmtId="2" fontId="5" fillId="4" borderId="2" xfId="0" applyNumberFormat="1" applyFont="1" applyFill="1" applyBorder="1" applyAlignment="1">
      <alignment horizontal="right" vertical="center"/>
    </xf>
    <xf numFmtId="43" fontId="6" fillId="0" borderId="2" xfId="5" applyFont="1" applyBorder="1" applyAlignment="1" applyProtection="1">
      <alignment horizontal="right" vertical="center"/>
    </xf>
    <xf numFmtId="43" fontId="7" fillId="0" borderId="2" xfId="5" applyFont="1" applyBorder="1" applyAlignment="1" applyProtection="1">
      <alignment horizontal="right" vertical="center"/>
    </xf>
    <xf numFmtId="165" fontId="7" fillId="0" borderId="2" xfId="0" applyNumberFormat="1" applyFont="1" applyBorder="1" applyAlignment="1">
      <alignment horizontal="right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2" fontId="5" fillId="0" borderId="2" xfId="9" applyNumberFormat="1" applyFont="1" applyBorder="1" applyAlignment="1">
      <alignment horizontal="right" vertical="center"/>
    </xf>
    <xf numFmtId="165" fontId="5" fillId="0" borderId="2" xfId="3" applyFont="1" applyFill="1" applyBorder="1" applyAlignment="1">
      <alignment horizontal="right" vertical="center"/>
    </xf>
    <xf numFmtId="165" fontId="5" fillId="0" borderId="2" xfId="10" applyFont="1" applyBorder="1" applyAlignment="1">
      <alignment horizontal="right" vertical="center"/>
    </xf>
    <xf numFmtId="43" fontId="7" fillId="4" borderId="2" xfId="5" applyFont="1" applyFill="1" applyBorder="1" applyAlignment="1">
      <alignment horizontal="right" vertical="center"/>
    </xf>
    <xf numFmtId="43" fontId="6" fillId="0" borderId="2" xfId="7" applyFont="1" applyFill="1" applyBorder="1" applyAlignment="1">
      <alignment horizontal="right" vertical="center" wrapText="1"/>
    </xf>
    <xf numFmtId="171" fontId="7" fillId="0" borderId="2" xfId="0" applyNumberFormat="1" applyFont="1" applyBorder="1" applyAlignment="1">
      <alignment horizontal="right" vertical="center"/>
    </xf>
    <xf numFmtId="39" fontId="5" fillId="0" borderId="2" xfId="7" applyNumberFormat="1" applyFont="1" applyBorder="1" applyAlignment="1">
      <alignment horizontal="right" vertical="center"/>
    </xf>
    <xf numFmtId="39" fontId="5" fillId="0" borderId="2" xfId="9" applyNumberFormat="1" applyFont="1" applyBorder="1" applyAlignment="1">
      <alignment horizontal="right" vertical="center"/>
    </xf>
    <xf numFmtId="165" fontId="6" fillId="0" borderId="2" xfId="3" applyFont="1" applyFill="1" applyBorder="1" applyAlignment="1">
      <alignment horizontal="right" vertical="center" wrapText="1"/>
    </xf>
    <xf numFmtId="165" fontId="7" fillId="0" borderId="2" xfId="3" applyFont="1" applyFill="1" applyBorder="1" applyAlignment="1">
      <alignment horizontal="right" vertical="center"/>
    </xf>
    <xf numFmtId="40" fontId="7" fillId="2" borderId="2" xfId="0" applyNumberFormat="1" applyFont="1" applyFill="1" applyBorder="1" applyAlignment="1">
      <alignment horizontal="right" vertical="center"/>
    </xf>
    <xf numFmtId="40" fontId="7" fillId="3" borderId="2" xfId="0" applyNumberFormat="1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right" vertical="center" wrapText="1"/>
    </xf>
    <xf numFmtId="40" fontId="7" fillId="7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43" fontId="7" fillId="0" borderId="2" xfId="5" applyFont="1" applyFill="1" applyBorder="1" applyAlignment="1">
      <alignment horizontal="right" vertical="center" wrapText="1"/>
    </xf>
    <xf numFmtId="169" fontId="5" fillId="0" borderId="2" xfId="8" applyNumberFormat="1" applyFont="1" applyBorder="1" applyAlignment="1">
      <alignment horizontal="right" vertical="center" wrapText="1"/>
    </xf>
    <xf numFmtId="167" fontId="7" fillId="0" borderId="2" xfId="8" applyNumberFormat="1" applyFont="1" applyBorder="1" applyAlignment="1">
      <alignment horizontal="right" vertical="center"/>
    </xf>
    <xf numFmtId="0" fontId="8" fillId="6" borderId="2" xfId="0" applyFont="1" applyFill="1" applyBorder="1" applyAlignment="1">
      <alignment horizontal="right" vertical="center"/>
    </xf>
    <xf numFmtId="174" fontId="8" fillId="6" borderId="2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40" fontId="9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65" fontId="7" fillId="0" borderId="2" xfId="3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65" fontId="5" fillId="0" borderId="0" xfId="3" applyFont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5" fontId="7" fillId="0" borderId="2" xfId="6" applyFont="1" applyFill="1" applyBorder="1" applyAlignment="1">
      <alignment horizontal="right" vertical="center" wrapText="1"/>
    </xf>
    <xf numFmtId="165" fontId="7" fillId="0" borderId="2" xfId="3" applyFont="1" applyFill="1" applyBorder="1" applyAlignment="1">
      <alignment horizontal="right" vertical="center" wrapText="1"/>
    </xf>
    <xf numFmtId="165" fontId="5" fillId="0" borderId="2" xfId="10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180" fontId="14" fillId="0" borderId="2" xfId="10" applyNumberFormat="1" applyFont="1" applyFill="1" applyBorder="1" applyAlignment="1">
      <alignment vertical="center"/>
    </xf>
    <xf numFmtId="165" fontId="0" fillId="0" borderId="1" xfId="10" applyFont="1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40" fontId="3" fillId="0" borderId="2" xfId="0" applyNumberFormat="1" applyFont="1" applyBorder="1" applyAlignment="1">
      <alignment vertical="center"/>
    </xf>
    <xf numFmtId="40" fontId="15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174" fontId="5" fillId="0" borderId="0" xfId="0" applyNumberFormat="1" applyFont="1"/>
    <xf numFmtId="0" fontId="8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" xfId="7" applyNumberFormat="1" applyFont="1" applyBorder="1" applyAlignment="1">
      <alignment horizontal="center" vertical="center" wrapText="1"/>
    </xf>
    <xf numFmtId="0" fontId="3" fillId="8" borderId="2" xfId="7" applyNumberFormat="1" applyFont="1" applyFill="1" applyBorder="1" applyAlignment="1">
      <alignment horizontal="center" vertical="center" wrapText="1"/>
    </xf>
    <xf numFmtId="37" fontId="3" fillId="8" borderId="2" xfId="0" applyNumberFormat="1" applyFont="1" applyFill="1" applyBorder="1" applyAlignment="1">
      <alignment horizontal="center" vertical="center" wrapText="1"/>
    </xf>
    <xf numFmtId="180" fontId="3" fillId="0" borderId="2" xfId="7" applyNumberFormat="1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37" fontId="15" fillId="0" borderId="2" xfId="0" applyNumberFormat="1" applyFont="1" applyBorder="1" applyAlignment="1">
      <alignment horizontal="center" vertical="center" wrapText="1"/>
    </xf>
    <xf numFmtId="37" fontId="15" fillId="8" borderId="2" xfId="0" applyNumberFormat="1" applyFont="1" applyFill="1" applyBorder="1" applyAlignment="1">
      <alignment horizontal="center" vertical="center" wrapText="1"/>
    </xf>
    <xf numFmtId="37" fontId="15" fillId="0" borderId="2" xfId="0" applyNumberFormat="1" applyFont="1" applyBorder="1" applyAlignment="1">
      <alignment horizontal="right" vertical="center" wrapText="1"/>
    </xf>
    <xf numFmtId="0" fontId="15" fillId="9" borderId="2" xfId="0" applyFont="1" applyFill="1" applyBorder="1" applyAlignment="1">
      <alignment horizontal="center" vertical="center" wrapText="1"/>
    </xf>
    <xf numFmtId="43" fontId="3" fillId="0" borderId="2" xfId="7" applyFont="1" applyBorder="1" applyAlignment="1">
      <alignment horizontal="center" vertical="center" wrapText="1"/>
    </xf>
    <xf numFmtId="43" fontId="3" fillId="8" borderId="2" xfId="7" applyFont="1" applyFill="1" applyBorder="1" applyAlignment="1">
      <alignment horizontal="center" vertical="center" wrapText="1"/>
    </xf>
    <xf numFmtId="40" fontId="3" fillId="8" borderId="2" xfId="0" applyNumberFormat="1" applyFont="1" applyFill="1" applyBorder="1" applyAlignment="1">
      <alignment vertical="center"/>
    </xf>
    <xf numFmtId="40" fontId="3" fillId="9" borderId="2" xfId="0" applyNumberFormat="1" applyFont="1" applyFill="1" applyBorder="1" applyAlignment="1">
      <alignment vertical="center"/>
    </xf>
    <xf numFmtId="40" fontId="15" fillId="8" borderId="2" xfId="0" applyNumberFormat="1" applyFont="1" applyFill="1" applyBorder="1" applyAlignment="1">
      <alignment vertical="center"/>
    </xf>
    <xf numFmtId="40" fontId="15" fillId="9" borderId="2" xfId="0" applyNumberFormat="1" applyFont="1" applyFill="1" applyBorder="1" applyAlignment="1">
      <alignment vertical="center"/>
    </xf>
    <xf numFmtId="37" fontId="5" fillId="0" borderId="0" xfId="0" applyNumberFormat="1" applyFont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4" xfId="0" applyFont="1" applyBorder="1"/>
    <xf numFmtId="0" fontId="16" fillId="0" borderId="5" xfId="0" applyFont="1" applyBorder="1"/>
  </cellXfs>
  <cellStyles count="11">
    <cellStyle name="body_style" xfId="2" xr:uid="{00000000-0005-0000-0000-000002000000}"/>
    <cellStyle name="Comma" xfId="3" builtinId="3"/>
    <cellStyle name="Comma [0]" xfId="4" builtinId="6"/>
    <cellStyle name="Comma 10" xfId="10" xr:uid="{AF500DC0-A503-425F-BB36-191BEFAF06EF}"/>
    <cellStyle name="Comma 2" xfId="7" xr:uid="{0018518D-3A4A-45D9-9016-E275EDA621D1}"/>
    <cellStyle name="Comma 2 3 2" xfId="6" xr:uid="{19706E07-0421-4087-A6C8-1A7902B28907}"/>
    <cellStyle name="Comma 4" xfId="5" xr:uid="{DF4228CF-B945-4490-B457-72EC0BB423CA}"/>
    <cellStyle name="header_label_style" xfId="1" xr:uid="{00000000-0005-0000-0000-000001000000}"/>
    <cellStyle name="Normal" xfId="0" builtinId="0"/>
    <cellStyle name="Normal 2" xfId="9" xr:uid="{4310E10D-4719-4D34-B64F-CD3EAD48134A}"/>
    <cellStyle name="Normal 5" xfId="8" xr:uid="{1A77DF46-6FE1-45AB-AD75-FA234DC485C3}"/>
  </cellStyles>
  <dxfs count="0"/>
  <tableStyles count="0" defaultTableStyle="TableStyleMedium9" defaultPivotStyle="PivotStyleLight16"/>
  <colors>
    <mruColors>
      <color rgb="FFD9D9D9"/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FE2A1F4-82A6-4B3A-96CF-D44BE6E619A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9009BB8F-0405-493D-8C30-5E85189CFE8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6EF91751-2875-4DFB-99B7-0949B105C76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AAF4EC2D-4760-4002-832D-DB0FC4A1936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C78E0C5-C86D-4217-BC6D-B70315E40AE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291E0EB6-3A9F-4AA3-BD97-1A647E503C7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FE1BAC2A-036C-48B2-9404-D4407E3216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6C01F9EB-22D9-421F-974C-51686CC6189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89033BC-7B6F-48A5-BC02-52AA946CE62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C052E32F-9843-45A1-B325-75467100ABD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C3C76B47-956D-420F-9593-FC3942B428A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6971062-F92A-4B44-B6DB-7A2340D948C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64EEB204-EA40-45C8-9CED-41F8EA289B0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67B55569-C915-4C94-852F-7200A4F1FF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78D62460-1360-46E4-AD7F-B2D6E7FA8B6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F91E2442-61D0-477C-BD95-36EE7BA2F7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B82A912A-378C-4B7B-9AFE-E7271D0E909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362E163-EFBC-42DF-BCCF-A3E19105443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47243AA3-B8AA-4E24-AF2A-8731A82E44D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9C2AA499-3185-4636-A193-376E651759C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ADAAA8CC-07F0-4401-AA1F-DD60DF616A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C8D8A087-7E64-429F-9D9C-71112EBF15D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A4344FDE-AF8E-4A46-9EA4-F1425DE935F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AE1F53F8-45F7-46DE-817D-3FC3F29BDB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6A05B60C-6637-4DFF-BFC2-25880816FFF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9FC692BB-94F0-4BAF-A350-D707B29F9AA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9D2242EC-FDDE-4AE7-B967-89C2FC196A2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435B75BC-02F7-47C4-9885-801676CE061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1F57F77D-BF55-464D-A5FE-5CBAE897103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15AA8D56-9665-43EB-B6EC-76C0E773459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216305D0-9F69-4D7A-9954-ECBB01F2FA8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58FF7509-AAB6-47BC-B623-08560470286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7C82C57F-8F10-469F-9007-55A915AFFE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B86D0F1B-E65D-4E52-AC3F-BE2A2697B21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FF3E2CE5-1C9B-4FCD-92A9-855FC57CD5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F497A63C-3F30-4F06-9EF6-6F71460CF2D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28CCDFAD-556E-475C-B273-316C37A0D59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9C8D96C1-ED34-4327-8756-FB20F1CEC6A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46F91897-10DE-4373-9B92-FB0E98B8AC4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DF3A814C-90CC-4AFC-BC40-AD3AD55FD95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E513A552-F921-469E-97C5-CA1411BE937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9319738C-0AFA-47D2-AADF-BED69060377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FA0B9DB3-40CF-44E0-AF30-E2CD8F85820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F8E2A947-E3D9-496C-AC58-85AD756E5E3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A1B72384-287F-46E6-9E67-FCB9F282765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A0FB9A1-8B22-48B6-9CA5-3AD72665FB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30259B15-665C-41AC-9B92-2B3CE16DE84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1669775A-612E-47AA-8764-5E3B5736463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6C652AA6-6B0F-45A1-ABD2-83D4B902474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4471DBCD-860E-46A9-86D8-8AFDFFFFCD0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13A4D56C-2B88-41E9-B70A-992631D1E04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9961C2E3-B08A-4521-BA4F-5B5599D5830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B2CED0AE-0509-4863-AEA1-C4912371840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4D0DFB03-C6A5-4992-BA7B-0DEB9F9DA78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CE075335-C615-424F-9161-F6328243326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F884A96D-78E0-4897-8C93-2FAA5A387C1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6626ACAE-74DA-441A-8181-7423DD4DCDF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8F2400B3-B77C-4C48-B028-8F4581D08CA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42F26506-0B54-460E-B0D5-BB41B004C32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98A64205-95AF-491E-A235-06066C6D556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508EB798-7B3D-4262-BCC6-7A8EF0789BB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F4405123-8C76-446C-8679-48FEC13209F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AD5B586F-5F15-4EA1-8F0B-5EEA2B19711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7AF0C913-9219-47AD-B372-D99546BD833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CFCDDC9F-775D-4A2A-89F6-E8C458AFF66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5F8979AF-6BD9-4639-BBE8-7136525C898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15396058-B4FB-4807-A3E1-E6831B44099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BE3E7EB2-DA3A-45A9-9E16-334B2A38486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843D8853-C317-4169-9F3C-E02953305B8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9296B98E-783E-42F1-9AC8-E6119415649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ADC04A0F-F266-4171-B953-0276F518D09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8915C17A-4A33-43DB-8F57-6BCC3B665A5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3383E204-4908-417C-8594-B8F04F1B4E3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4D0AA1C8-568F-465A-A601-99A3930817A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881B1BAB-476C-48FE-85DD-08034453DFD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80EB550-307B-4FDB-B35C-5F8DB93210D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48525CFA-B7F2-413A-96A4-7F988319ACC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96008CA-3AEF-49C0-9BE2-08DDCCFC5C1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93BD5DE9-BE71-4D72-9D2E-075E333AC39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C4963F4B-DA3C-4BBB-A683-77C6C877D25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96D4C2AC-1D3F-4D4E-8D82-3CC1128E1D7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20550CB0-E9E6-4194-99B9-EC572B934AD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1D39868D-1F9E-49E2-8BDF-2DE4B8C7A8F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5FC21109-4E7C-4C49-9E24-E9B20A08845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C74BB636-6F67-4B20-A25F-52AFAB9B12A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1968C438-FDD3-474E-9A26-269ED9495AC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957B72B1-F6DC-4FA7-8CFF-0903F24381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6CF9A710-8869-46E9-B700-0BAD2F2A0F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949C8C4B-162D-4F2C-9D85-42234F0BB7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F7EAF943-A464-4D4F-AC7A-2AC8931BE94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859BF7F0-4012-44DC-9FE3-2BF504B366C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DF19FD48-D2FB-4991-B67A-E13A634580A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3A712F09-ABB6-448E-AA81-4C020BD6478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17B32A87-FAFA-4192-8E72-A14AE7F203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EB56800-8CAA-4E35-94EF-838A6C38CD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6D68E2F4-BAA9-4129-A934-1A189EC119C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B6D635D3-A1CD-47E0-8704-36B6FB21A5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922A46AD-76F3-4A31-B9E3-48CE725914B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2482CEF9-CBD2-4D0C-B950-6FD0CB01356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9BD1E123-BC34-439D-ABAD-AE1427FAACC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47F5783D-880C-4223-8CBD-F5BA9873049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A6990725-1E4C-4FF0-A991-BC410DADEC1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C81A090A-863E-4800-94FA-8D6A5E5180E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AB540097-84E6-46AB-B243-0C50B1B155D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90ED5D7D-642F-43AC-91C1-A0A75498FF5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43B3F9D7-EC54-43B9-BD23-B771445AFB4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801B9803-0B6F-4960-B2AE-B6F2ECD900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2CE7B7F8-E03F-4B64-BBE9-0FADA6F074B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35047C5B-898D-45D1-B59E-0BE8B3CC0F0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B07C16F2-C008-48A7-BE5D-819179AA867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C2CB782E-B023-408A-B07C-3AC0B3E8AB0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2A0C7D35-F406-4748-AEED-550E61E7E8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A6724A78-E870-4344-82BD-C96787105E9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9DFCA9DF-91C2-4500-871E-E5660C1FA5A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5CDAE134-6998-4843-8A38-5DC1F7AB0A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7039835E-3A25-4E88-83B6-E49847D2E2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8D26EDF4-76BA-48FA-96E7-32E6FA15B3C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28801838-6B9E-43F6-B445-EEBF373F41F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EDDAF29E-3DEE-4298-9195-AC4729A9ED1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862DF5AA-CD38-4A7D-B3A2-39E6E93ED1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99441212-6E68-49D8-83D3-32B6DA3920F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756A9240-AB00-4DAD-81C1-A18B13EE58F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D41A9FDD-A7B9-43BB-99CB-385F2A6FCF6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E4F3DC34-A7A9-457D-A35E-4B303DF2B4D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42E6741E-4834-4E8D-A728-AD250D608F7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84261FFF-8C6E-4AB0-AA18-F7A4CA0EEDC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772638C7-12E7-40B1-B31A-9E026EEC378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43E58C4C-0BB0-425F-B290-E2FB8AE0DA9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89716C94-5445-46FE-9669-2BCEAEEA24D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5363F567-64E0-4AC7-AC5A-C081859E115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C639A464-1B88-4203-8056-01F3C491675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81C53A0-861E-4E6D-98D4-F229536AF76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C9CA7F2B-FBCE-4E0A-9F9C-5C020DDEB85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D015D0F6-BBF4-47BD-B5B3-5C859A205C7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85249E88-DF88-4058-983C-BBA2F200C0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A17F2274-C677-4A92-92DD-824F5325674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29A11FBD-922B-4902-A664-52474B66832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2DD9457E-1358-43F5-8BD2-69A3022B4EC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19428182-3BB9-4797-9D2D-C75158590FB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8BA3F83-264B-448F-99C7-7044A2598E4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CD9372FC-CF8A-4C85-BAD8-D8CAF86D6AB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A89E3289-6879-4BA2-AED8-3BCD2F1560E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AFF5ECBF-ED7F-4A28-AD9C-EA2101BE348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6186507A-9D87-4EE4-830F-F2A953F229E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7597C467-7C97-49CE-95FF-19DC435BD2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94477862-8081-4270-8C15-D48E4E3E7AB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E0E357EB-996F-498D-B166-A89D3680E93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8B93095B-E878-4EF2-9BEB-D063CA56A45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66B62F62-03D6-4219-AF7F-5B750D413E5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F41183BF-8613-408B-8F7F-E3A8C77506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F83A6F3A-C787-45FC-BAB3-1A47D1C54E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3DE0D694-6921-4993-8ABC-2DCC05F623F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92EB30AB-68CE-49B5-B17C-545DF11E4D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31177AF1-59FD-4807-8532-EA94C6BB78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3273C61A-7CAD-4C0F-BF25-A77AAC7CA8A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840CE3A4-BCB7-4821-BA36-542263E2800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FA155CB-4A23-450E-B0A2-BE31B4BD3EF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79699A7F-8FA5-46CF-AC7A-9B63E134EF0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47A2B88F-96AB-4BF8-A4B1-8EE3840E98A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151A0456-DFDC-422F-A0DE-8DC3F23098A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AEEE0292-855E-4215-AD4E-EB667D13392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C2FF7924-0CB0-409D-AD7A-82457C7ACB6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257699A3-2DE2-48CA-BC2E-49C9234FCFC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C2E86C84-B058-42CC-8C00-06BC60E0250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E6E50CC8-1549-448F-A421-D560400054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C4CC3E9F-7B1F-4CFC-8DBB-0B3F8E3EC5A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C85B7280-2897-4AC1-8F9C-F94C3608F58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4FD9D09-FFAF-4C1C-9B3D-63751E8E725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B2809E6D-12E5-4B5B-96B1-C5B33959727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7AAD5153-2785-45C1-B54F-44E85718E9A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41A02B5-255A-4325-9BB4-548EC588119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2307AED-3990-4669-9BB5-8C8DB13FCE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C7FC4C94-5EC8-492C-B3FE-527A0E0A74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A8ADDCF-E33D-4829-A02D-EBDFFEFECBF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67898A67-51DB-4994-8E9F-ACB5BF80772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611D91A7-85A9-4282-AA8F-FE1B33B3C3A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C606CA07-F372-47E3-9A71-70715EF4798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4120EFDB-D7C5-462C-B184-048CC72F719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E82A1E3D-284F-4410-A390-AD2DBD07B91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11C2F12-F682-4EEE-BBCE-F8B71F28D57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DC0DEE1C-D14A-4BD4-8E9B-1542CD45C46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E3C96AA3-3DE3-4548-9BED-03441A39053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C9D8EB25-9F22-40AC-B782-B8D82EFCBBB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1AEDFBCB-E34F-445A-818C-CD0D195E6D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C71D628A-3FE4-437A-AF24-173C9EA93E6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DC495E60-CE9A-47AF-829C-92C6CEEF286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E0AA71A8-F8C7-41B9-AA4E-71EC3E0DA13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9C95AF7-7A8B-44FF-B831-35E0527391C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11494CFB-CDED-44B8-B743-98D3C3410E6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9FA48754-FBA0-4D0B-89B0-FF27FCCD5E5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82686EB5-3E56-4946-B8A1-85F782B6D6C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DDD19936-EE0E-4663-B528-171946E13A2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B7C79DE3-D21C-4316-8DDE-88225A9B54E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E28BFFFB-8B07-4E64-A39A-DE6F2B01104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9CAFF670-3316-4515-8783-A501A4A29AB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E09DA153-0A60-4C79-865D-63E19373B90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1A28F316-A10C-481C-917D-7D6C840A8F3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F9BBBB1A-A53D-41A9-B839-41C099AD12D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3FA935E3-9D40-44D5-8202-3B5BD116029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807B1E1E-AD37-4F28-B42A-68DB42D8187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BAA25DD6-DEBE-4ACF-8089-10E98D34246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B91FE4D9-B942-4A56-970F-95122FF466A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8DD2B35B-2898-47E8-AD10-2E2C4E3CD4D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7060B6A5-D802-4F52-AC61-2496C399B5A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98202D04-C549-4BCF-8132-F23B40029A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7D381437-7EDA-4109-97E5-61AEC6DAD2B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5525E048-972B-48A0-AAA7-5D714C838AA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7E114E6E-9076-4C91-A7AF-ACCF7319F13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B12A8CD4-AE79-49B9-A3CB-B836A8DE2A2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12F9683C-4811-4513-9300-0E9F15E705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35922790-DFA5-4EE0-9660-B486B778E40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A8BAC449-A036-4A0C-988C-BA03F6A8D4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7E72370E-8171-4543-BD7A-10EA4824668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6434827D-6073-4824-BE46-6730BC5950C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818B269D-4640-48A0-BA93-770E71FBBF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638D4989-4A48-419B-A665-80037C544F0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8A643DC6-79AC-40C4-BE89-4BDF21B700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F70D3A93-3ADA-43D5-88E7-ED62CEDC54B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42ECCE70-C959-486D-9BA1-5BAD5B8B98D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DABB7A2-0B3E-47C8-9FDE-D02DC116756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4AF8B812-5602-4736-A8E3-79EDA00D5F5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1E69593A-D492-4A9F-9299-471E120731C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A5756A9C-8208-4328-BE7C-13C585CC19B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3E51D678-D937-485E-8034-276CDAE651D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B1735E86-F8F2-4A41-B522-02724658552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5909FB01-F662-4066-835E-00582461B84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501AF0C0-70A1-4A3F-BA21-7394F0E6F92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975B134E-A50E-498A-A5E2-8B0B8384A84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22EDF91A-9825-4300-9216-A13EA3C1F1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7E99A4D7-AC97-40B0-B52A-A4125F824F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1301C347-D787-4B1E-9300-67D8C969F3F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31FDA6BF-FA2E-494A-B0AA-523F5A60326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14AD9DAE-C3CA-4668-9AEE-13B17E0E8C2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BA26700C-E364-4BD8-BB83-928675A5CD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F48B053-64C5-4CFD-BE6A-93AF1E9D3BB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6BE37DE2-9637-4310-B62F-C584382ACE6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4B1FC222-FDA5-4513-97BD-2295593BB36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C4160315-CD58-4980-9C22-AD2551F7266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52AED251-75F0-4132-BEEC-BCCE7EFABB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BA48D5A6-6AFD-42A2-BE17-8DA1CFBED8A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9DDEDC1B-D333-4266-B525-9E7B70C092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8C8F67A7-7092-427C-92DE-803BF5F4C7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1EBD89B6-CFC8-4057-B379-EC9C34E0603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F650A945-6B17-4ED2-AA10-C95721AA4E8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8955F140-E98E-4DC9-B968-38A3FA148DA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3F90B052-BC9D-4DDF-9892-48764AAEF5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890C052C-D256-4930-8294-6874D4C513C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BB76DC4E-263C-4692-9C67-8EDD6EDF78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F94C94C6-C5A1-4C51-8A60-16C3CE41337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731EB41-3184-4C1E-9262-A553655F45B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248D2C87-3AD4-418F-8A4C-B5702C8CA5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9D312C02-632B-4818-AD3F-F3CABD98D31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59666034-85C2-410F-B31B-EEF6ED85DC4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2547D39A-8657-43FE-88B0-897FD8180B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53F887C2-6731-4574-8B86-9379DAF818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5636C2B6-40D2-47C0-AC17-336124C0293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65E028A9-5645-4ECC-A278-7E9F6E0B2DE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7C2C3B30-E9D8-4BA4-A23B-63E63F68D3A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8BE4EAF5-7620-4BC9-8847-C1DD8EA29A1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3CC88267-21EB-400F-8220-3FC4A3678D0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75D4178D-4AE6-4B94-8509-3BB3F9FDBD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68AB3871-72ED-4F1D-BB03-2011358C7C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10DDE32B-C407-4815-B7E5-F761AA904E2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69B6D953-A33F-4BF1-B97B-D15FBBDB7EF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4CB3086A-4348-4200-8AB4-E7E60418E1D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C71397DD-FD1D-41CA-A489-38668A2099E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9F92F7A0-CD71-4335-BFEA-9657BEB3ABE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6FA6D6BD-8432-4A86-8811-5FA326A6F80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57137D9F-ED4D-42AB-A986-B12A2F96ED3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CFE30F1B-0235-43F0-88E0-24F80DA4BA5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898F884F-A80E-475C-BF1E-E4CF7EECCCF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5E4489F5-BAFE-4B67-AB28-680B57CB488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861000A7-8985-4905-85DB-C7A1BA7F6B1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8CB3826D-18E4-4B37-83A3-E2DB120E134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48F267B-9EFE-4832-9059-6FC1DC0586E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50F062E-001C-47FB-BEBC-ECE106B482B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20FFC359-F775-4460-A546-BE2A01A6B31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2E46CECC-BA2E-4714-AAC2-2B9F66E989F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8B99D138-93CB-484A-8878-0EE3BE69F3B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209112B7-43CD-4AD9-8AFF-D4DC1A6C0B7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631B4EF3-4F75-453C-A741-71880AF39B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F2AE9860-8599-4058-8D0E-FEBAF987794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19601D18-6052-4EE2-A8FD-F3DA4A99EE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99C4CB7D-1AAB-4822-A817-0E51C675413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7039E4F7-1F41-4257-B874-0FCB37F2694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5192DC56-C565-43C4-9F74-873A71F5FA1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D45A44A0-C9C1-4C94-837E-8F5EDBC7261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1642C366-C771-44F9-93CE-E05288DAD6F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EBF2F7C8-ADB8-421E-9429-A1B475D5D10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1C80E476-C1F0-494F-8941-D6C210F7E99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D257FB09-68BB-416E-A329-FD1F797843D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BE22BEDA-D181-4D0B-8EDC-4C0FF43B48E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938B29B7-C01A-41B5-919E-CC81C4A5212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6CB75745-ADF4-44E6-93FF-E66837BFA15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923940AD-9265-4F98-8843-CD724CD200F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8C499D86-145A-4FFA-80D4-25D839DE2F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1C9E4F14-85C5-462F-BD83-78831AEF001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DD452887-AF24-4202-A3C8-3EFC1FB5261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BCC719A7-F725-4C6D-AF4B-AF91677BAC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FB30A8FB-2772-497C-9792-D178E58EAA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94A4FC42-8C0C-47EC-8107-98298B237BB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3A2BC38E-551B-4CC7-93F6-30F7C3993B6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49CDA757-1436-4D9D-9D10-2D959777F21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571037A5-FBBE-4BAB-ADF3-DB042B2D299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1CCFCAED-4014-4F31-94C7-A5AA243037D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8CBC6C73-CEE5-41DC-9B5C-DD9E45F95CF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70CF29AB-E795-43B3-AF54-6AE728411A7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8757B3C2-66BC-4E88-91B8-B58864C2E72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109638EE-3E1F-491A-8BCC-F2F2F1EE761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B308169A-0C9E-45D7-8DBD-CFFB745FA1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4385A556-AE57-4DE2-ABB2-52F0D30312C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B9B64C14-C7BC-4168-AABA-9DF1487CA7D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C847CC4B-20C9-42BB-B423-C5490D16CAC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29F07C23-1694-45BE-8CDA-AA959E1C8F9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A8535407-B1C4-48A0-A0A3-78425A7A6E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AB189F1C-E18D-4A5D-97F2-1B42D6B622A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D2C4FD9D-1AE1-4239-A21E-034AA447659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CE614E11-E29B-435E-ABFF-4130A11C05E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ECE36166-A551-4CD1-85AC-7B65C1DEE3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4D3A4595-5084-4305-8B98-6C2C422413E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4FC964C8-2B00-4AAB-80F0-E74B3B259B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BD4F8075-B73C-4EA1-9A6E-0B71672269E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BD87C88F-2548-4C26-9375-F92102C6B3C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456789BC-759E-456C-8549-B9F74A40177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76CE6FCB-E9A2-4EEE-8A11-99534342FE7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FC147701-ED34-4A52-BF4C-42EBA2040D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661A95B5-9DCC-4F8C-AC7C-0AFBE51708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BD8AB257-6730-435D-A321-AC44862FDAD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9CF0CB10-8037-44E5-8ECB-04821243E8C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78FE7CB3-3BBE-4CE6-861F-308AB9BD900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7F245001-9AD8-4BA4-9ED1-22E96F184FC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FB3C228-031E-4E95-BCEA-E7E073AE900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1A141B86-3B69-48D7-9DB4-95A2BBD588B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D3EA6ACD-A15B-441A-B49B-3E55DF15D86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B18C6076-CE9A-4D0A-94CD-8D40F52E19A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CF3131B2-64E3-41CF-ABAF-CFF74D6B560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2F28EEE3-58BC-418D-B76F-2D989CD8954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1E8C35C7-E752-404E-890E-804383370DF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E6E06646-2E8F-4400-91D6-A72C4B06C49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A54E2ED7-96F3-4E33-A421-C2FC7460C0E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8CAC5507-67D6-4420-8E7C-39685FA82BE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57B94644-2893-41AA-A11E-FA91C5F88EE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FDF1885B-11F0-4B8F-A6F7-A9650E9B4AD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1A4A4DD7-DEB3-4C60-B4A5-8A1AF5B208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E2759186-DCB1-432B-875B-C49F8FA1FE8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1FF67B58-9CB4-4D80-A063-8B0DC6D1CDE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4224EF48-C001-41EC-96D2-855F0EE66C6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FD270FE8-8E09-4831-99C2-5E13B15B945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69BC6040-612A-4245-B70E-F70C76DCA51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69B0E836-13F2-427F-82D3-E65EC7B86B7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BCDD8996-EE00-458D-A30D-A240199D03D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5A2666EA-1CFB-432E-94CF-87969157748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10111A99-4B93-4BE0-A8F8-4700B4403EE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9DC105BA-7719-4AF1-804C-1E9EBFF39F6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883CA00C-41DA-4761-8444-45B41A4236D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5FA1E8B7-A3D8-4B1B-855C-A8FBFBEA238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C1AA0D8E-F18B-411F-A097-2CE0AFD2AAF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83245912-B1F3-47EC-AF51-74808D3C10F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BD67F083-92BD-4783-A298-CFC2C7A0069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51101FC-9E07-4534-B30E-3A9D7A28089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A44327C6-FA91-46DB-B3DD-462E6A2DCB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34BF1290-BE22-4023-B035-049AE9184C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9E4F18A-2B05-4643-87E1-C91BB4092D3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BCD5DA93-5172-4D66-91C6-0B0AA8C4DA5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75B396B-DF68-42B9-A3B6-44DE19278C8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277E0D16-23DA-410A-8559-F31FB4844BD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10FC10A8-1DA9-411E-A760-89497A165F5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B0EFF222-3D1F-4FB2-84C2-E2E50B05AE7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66EA6225-0759-457B-9D7C-6D0AA79804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C4DD66AF-3A0E-46AC-B0C6-6F7DF258EC0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798B0FD0-B6B1-42B6-A52F-7C7AE446E5E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A398CB6E-F4CF-4B48-BEE5-D63DB3E939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40D9E556-E993-4E64-884E-59373E77BEA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D3F0D4B9-6D4F-42B9-BF0E-63653116D5C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DDFD8A10-C3D5-431E-B475-37B7A2FCEC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EC9C7D2C-DE71-4BEA-9413-F9B861A4F31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94EEC806-A304-4C8B-95E2-58CE1400BF3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1EDE742A-599C-4AFF-B25D-71E48B67D18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AEAB07ED-57EF-4344-9E7F-0CA47CD03CC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BCAB3062-F7EC-4863-8F39-872D1E75820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142700EA-BC6A-432D-B20F-59F3BF3D69C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853CB217-C009-44FF-AA1B-728C4FB91B7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F5875EB8-8D1F-4E6D-B92B-323559D99A1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6306499C-CF53-4BB9-A004-72A844AF95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47A8B6F9-13F2-4477-ADDD-178353AD89C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D3467C63-CBE9-4B8C-92E3-FB1C6242FA2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1F0607D4-E8E4-41A7-8C3B-A5D31808ABD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7A4417E6-E5CF-4245-A15C-D5DB3430C8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66E03E2B-71EF-4556-85E8-A28169820F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877A5CF9-08B1-459B-A01A-FF5824E2649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E85B05BD-4667-4C1B-8DEC-A2B4FD9111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B52672B9-8D77-42AC-AD35-73D3493ABBE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FF2EB9FB-4EC7-4F30-A1EF-BB237C0D4CC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505779BB-06CC-4E04-AAEF-E7D877BA2A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8EF8151F-6DA4-4063-A76C-251A346B0E7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E153232C-8316-4E2F-9942-402940EEA45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402F03E-5C54-44A3-AEBE-503DAB2CC35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A3F303B3-53F2-4584-BB0D-3F43858E5A3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A043B2F4-806A-46A2-B72E-A020512A4DC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8A7CF98-4456-42EA-A4C7-9BAAA10B659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78DDD0FF-317D-4EEA-9A8B-9939C590C2E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E574F5-D935-483D-9011-9A2EF7E1FC8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A7B99F1A-B502-4151-AF84-2390F26BD57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319D2468-8941-4D7B-9E87-BAB9138E433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F5EF5AD7-A327-4DB1-B0AC-C85A03D5DC7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75105C8B-2F8F-4AD1-87FC-C50C215F010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4486EDE2-27D6-4588-807B-403786B97E3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FAF045AF-321A-4D80-B3D6-AB1D6FCB99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BC233099-B07F-463D-8DAE-7DA483AE9D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9CE51EE5-4822-4855-9CA7-3202BAF0122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4C62B68B-CF8D-48B1-B9C3-5B54BF6C65E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34EB4067-AC94-4E27-9A39-999384911AB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8FB02C0C-8848-4969-A1E7-3AB05CE7829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277AC189-07B3-4E98-BF62-D0D0287F78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216DFE72-BCBB-49DF-A04F-4169E6671D1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482D3677-DCAC-4B28-8221-EBCD54C9C09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2C206C2B-35D7-41DD-BBC8-1E298C1C06A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65B0F196-DB34-4935-ADFC-73CA394F33A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A677F880-9EB3-4560-AE3D-FE54F1789A2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6C2515CA-537B-4309-BE5E-9D3ECD7EA30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E619955B-3138-443B-90CC-407955B1485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7C5BFAB2-8DF8-4CA3-8033-C096393E23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9070C98E-A1C2-428C-B5A1-8DF8D11CE79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D0AADF49-4794-4D6D-9553-2F6D42F5240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F7F9FCC0-DC5E-4832-A92E-C2D57A64693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2FDF543B-4190-4D21-999D-9204650D67B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EDC364F0-DB90-4FD0-810C-585E4B7C064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5FC4C8A3-0D50-4D59-8206-561BEA6C524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D0447A56-CFA2-4216-8D61-483DD2A178D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8258E7D7-7820-4914-87EB-10FD71A24AF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D961AE75-B171-401C-9932-0A2344FA67F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3E8E6978-1C10-4116-8569-29E8F2AC972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5C994DBD-C8BA-4F1A-9899-5C0A4285AF4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90BD2B64-F1F1-4EAD-B7B5-949E583E2B0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EB184790-064A-4996-8B30-3A7F19F348E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F198FD08-8667-4169-8ACF-3F875EF60A0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52E47C25-90DD-43F8-953C-AF6762348AC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CF1EDF63-8003-4B3B-B04C-8EBD39BAD11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54C5DDE8-347D-4C5A-B8AD-06AE8F15E34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C296D306-C1C3-4F27-B5A8-C7300A16317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412FB8CA-08C2-4BB0-B504-AF032B6E0F3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87CE0655-DA12-4CD0-95C0-073C1CD09A6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52F4A2F4-865B-46B1-862E-AE25E54E35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E30A8421-A7B6-415C-B8A5-586126979C7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851FE043-4C29-4ED3-A9F2-29D1C9710FE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59BC1F25-D7A6-4326-ACDE-A07654A2B5E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9EAEA9FE-D1C0-40BF-8E21-9500CE6B27F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DDA496EB-28CD-46C3-981B-409FF6D669A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114390F1-FC66-43C9-8EDD-381F0042849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63308D3A-FB2C-4FF1-AA56-90C97EC44B5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DEC69C46-3D20-4B5B-B409-F00BA1F2EC9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132B6842-4919-4CAB-A8A0-B12ED06A09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E86D1937-2CA6-4E2D-881D-7D034265BF9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8EA25ECC-0E28-48FD-8520-3DD74456303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26960EA3-293C-4F82-9341-0FE53B569E2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2F6022DC-1E82-4EBF-9A53-F4EE4D54B22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D4FEF315-B0DF-4EDC-8C60-B0666CF8348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2A691EC6-3D0A-4E31-8BF0-4EF8667DDCC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B8A8D4AA-D731-4665-A3D0-07B9F5CE3E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CEAD001E-EF6A-4693-A922-DEAC4E12656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C827300-08DE-44D0-A849-B3C9610C09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8BF22BC4-D318-4704-976A-8D0F8EFA94F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2FE18B9F-6FCD-4D67-8B38-4F870DADF0F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D2F74B5-9D05-4C64-83B4-EC1BA26588F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A5E5BB53-3727-48AA-AA7D-CEDAB331C33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EC048603-DABE-4015-AD4E-0ED9B2C4575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3F66D583-0AF4-4C81-A15A-2774D200C3D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CF8E4462-75A7-4FAA-A372-D455EB26A9F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D7582A31-43E7-40CE-BE1C-A3A9F85004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A9BDDC8A-D502-4DE8-9EF2-881E15967B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AD788893-728E-432F-8EC9-ADC1E606A73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4BD83-5C36-4E16-9B83-F0573DC5008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A4118642-7ED2-4FD3-9482-A7BDD3395C1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4BD01591-7699-4F65-96A5-0607CD6668A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8C81306B-061C-4AB8-AFE0-FE4C43F06B3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3A08ABE8-6B8B-47C7-B7A8-1B4092414C7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B57AEBD8-4D2E-48BC-83D3-9A997A224AE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D662DBA1-9095-463A-B040-6F82FC1712D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E2059D48-FE8F-4B48-8857-2D48CEAAA1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AF2519CC-317B-4032-8A8C-6C3A17D9B9B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97D39F0D-BE2D-4737-BAEA-4AAF76FE99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163B7C13-E64E-4BD9-8E1B-5DF3B929CED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5B4006D0-1D9A-4F37-8E47-D6428CF9398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87C9F307-3F58-4CD1-8809-210FAB9807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6FAB757-ED6C-4F43-A212-77897956FEB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F3462BE7-8D04-440F-BB50-EEC88E2CDE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9C78EE2B-C928-4FAC-A5A8-1AD0FF9B335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67B81216-8954-4E6C-BEEF-F4C0BD5BE98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7CED300A-672D-491D-ADC5-21CCC3C2B35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BCBF421B-6A31-4075-B5EF-EF1E9248A3E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AC4F6AD6-EB91-4713-A8BB-14C60ED6C9B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85D3B6E4-72FE-431B-9A1C-27F1C0AD2E2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5671B8A4-48F9-4342-BFE0-84C41941EB2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53C757A8-0D38-4A8D-9286-DCA702E70C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DA3037C0-82EC-4E58-9390-B738F926C17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DA3FFF37-335A-47F3-ABA0-EDFDEB4F3B7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AAAF008F-2E2A-48D3-A147-471727C5639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B994E91F-FEB1-4A41-A4B9-E10ED85477D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C945A9C5-CD18-4A06-AD61-9F512CE7AE5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E49FB229-E54F-410E-9E43-B0595F83ECA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A744F18E-DD77-471F-8623-57C72D234CF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91FC37E5-3819-409F-B146-4DF0CE6E5DA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5A4B0BD1-6CF9-4858-83D3-2F92FB6E92B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D66FF9D9-E853-4E8C-9364-ADFA91241D9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FA0B8DA1-E981-45CB-9258-1FEE52525DE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9586DAC9-B4E9-4446-B7A8-A7C30A64B1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8782CA09-5C6A-4082-91D0-A4AC90C28B5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6BEB4FFC-64D7-43F1-973D-957A0EBBDE9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920561FC-55DA-4971-A3FA-9289723BB3D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F6A49292-5526-4457-832E-B989F559462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3100DC94-3D36-4B1A-B7DC-71CF455F6C0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DF2CC14A-9676-4C45-8F10-61597601114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691DD8DE-3FBF-4A27-A533-3AB700A221C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8A461386-8F4E-4DBF-B40B-1C0F15E217B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AE40C726-9100-4F58-9DB3-428BD04ED08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33E79E86-D9EB-4378-BF1E-23AA16747E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EFB49790-E13B-41AC-B7FD-E784A8B4A9B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E2938DCB-5D09-42D6-818B-DD1C6457882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7BA0EBA2-188A-4F61-AA77-6C9F47FCC57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76528CAD-A7C4-47B9-9682-DC3A8F9D1A4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3D71237-9642-4B4C-A180-C3AB14A0E2F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ED27F73D-8D8D-447D-8AB7-0189934B61B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AB0BE8B9-27C7-4AFF-8D3A-14E8FCD169B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F4576EF2-DC62-471D-96D6-2C34F503D4B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F19A1A2E-5240-4548-8321-4CAEF989121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1ED892DA-E028-4DF5-9D83-3E0E965974D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E2ACC077-C4D4-4C9F-8EC1-80FF5C8F10C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4907FC35-F41A-4DEB-B635-F40679C6610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9C8432F8-B31C-45ED-A30F-9912BF83E9D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64561686-5DED-4DBA-BB2C-6992017A1FC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DF7AA9D2-4A74-4B27-AF75-1D17389B665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297D8944-7DCB-432A-8247-8600C2E2A02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3C2BD666-472B-4A01-8063-63A4CA11374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2D8CCBB-2AE1-4FF0-9D00-BD80128D79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9709BEEC-3BAE-4CCF-B9C6-8AEF8F63E11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AAD2B84D-DBCF-4C17-BF58-C7AD4363AA2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68A75213-9E8A-4C00-983F-833D2489574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9F4E9EB5-B52F-4584-86BE-8201F4F7AA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20C0A18A-D284-4138-901B-BBD60422ED1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C293E5D7-2654-4100-9EAA-93230DE5F48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1BB686E0-1158-4BDC-B822-FBAEAA59C3D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AF8F47BC-0B13-441C-BFD3-043C193E651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94262987-8EB0-413F-8E35-4A0A5B85FC1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46F88743-4EA0-41A9-A796-A99CCD65EA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79EB04A3-F0E8-494D-9E94-7AB3BF575DE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C320D9C9-E011-4242-AA25-FDF67C5B7E4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3BC80AE3-918E-4B34-8C50-7F115BFB706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127514BE-9586-4E23-AB74-E9E39B954F0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943C3217-5877-4FF5-AF59-ACB01E04B8B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D3E2308-9F4F-4AA2-8CFA-97C343F3B15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714ADC63-79CA-4BA8-B9B8-54BF3AEE51F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EBCA02AF-0252-478F-AF62-38507418680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7081406F-5E3C-4A77-B97A-589EC7AA270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1EC07B0-F3AC-4FBB-968B-709E85211A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A5B00325-4522-48D2-8074-A1A0A5BC165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6CB7BE7A-17AA-47B4-8754-C96247F30D4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D28ABC42-9057-4B1B-B092-A0264474A5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FC564F7F-2E8F-4ED2-9BCF-C1F6A6449F6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A401C8F0-068F-4FD8-B82A-86E9020175E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78B7C98F-B858-4BC9-BD18-18E077B7076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E6FEC93-4C57-4541-B423-9D802AB000B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F067DB55-414C-45CE-9834-BC98E49DB42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DBF846F9-2724-41D8-B25E-973037DB43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C5C6D2CF-A85A-402A-A117-9CA10B0A0DC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22F15F75-2B8C-48EF-9B6A-F93EF3A35F1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1737B50B-CE40-4229-9BFC-6187B5C727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51DAA33B-8A12-4813-BF98-486D55C8EC8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1CB5E0E4-4228-4A36-B2DD-E15A64AB261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6844D8F8-7642-4553-9F32-84B1A7D3438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37681BFF-73A9-42FD-B65C-2D9DFCCA5C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5CABCCE8-0A1B-4791-A5A0-CDAC09C14C2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C327ACCB-3634-4E19-BE22-04008BD4D00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CBAE89E3-7D26-42B0-94F6-95C15A487F1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D118F64E-7B71-43FD-B591-37C1302DAC0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C4D07035-FAE7-4F4C-8335-A6EBA9823F0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63FFE473-03B0-41B8-A2C6-BDD3B911A06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21F0AE80-1540-4609-8AFE-A7DD6C6A8A0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5D18D72A-E78D-4627-A810-798EDFC53EA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70C72A4-662D-4B84-BE99-A58674A3247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41605CAD-D2BE-4334-BBBB-3645074F990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7E88C6AE-47F1-4E18-8280-FD8B37757C3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982682EE-9E8C-4786-A998-7D7D8693615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3AC938EB-7946-443E-B597-EB5ACB56CB3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E201F2C8-47FA-4F67-8921-FD0588C9461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B7B9C8B9-C786-4FAA-9057-BDCD0F9B3D4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638B67F3-8C0D-4EB7-81E3-5E4FD369633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A367C26D-D43D-4472-8191-709848729E9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1D92EB21-60C8-4624-8239-199DD0A438C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7FA61D7E-3F5F-4D27-BFBE-4A89973CD7B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CF606AF2-16A7-41F3-B66A-578D06BF73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5C016FDD-6276-4A36-889F-F412458482D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4AE44985-2076-468D-A9C6-B3AF4D08226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4721C6D1-D42A-41ED-8255-7C9EBD7818E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FA13F2E9-945B-4F58-885B-4851BF63D61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2F89BDFE-369E-4621-8ADB-EA7524C9A2D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68123C21-FC44-49DB-8EC8-4FADBCD9ACC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D6822182-8B2E-4FE0-A36C-5C86337E8C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B6820E4-8AE8-433D-8CA4-113A7C71DE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F0B3A33A-333B-4197-BB92-DC83327A2DA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F690B5A7-0F2D-4C36-B1CA-D69EFD6D480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C4430BE8-C909-41B8-B9C3-DA31084FE6B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655A5A74-495A-4DAC-80CA-1FC73022F57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A2E6675E-2C8F-4D90-A205-1F41FDA1F6A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647A0DA7-E834-4164-9905-C1A18D886A5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5760D40A-0CF0-4733-A439-CDAC0EC5443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60033C56-8472-4E37-824C-3D4A3608D1F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8FC5609A-CAFD-4F6A-B3B8-38C97FEF98A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5E8332A-3CFE-4B9D-877C-3991B0C7049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6DBC5094-2F6C-43C0-9C08-AC36C6EF324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7CD69D59-9E45-4146-80EF-932782F5E0A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7EDDEF92-E297-48B0-BE5F-995BB965794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AB05156D-24AC-42A4-B1EF-3E689ECED7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61D33567-786B-47EA-B189-97EABD20E8E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BBEC058E-8A55-4622-881A-906831B4802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939CA5AC-29DA-4F5F-9D2F-3F5C613001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E4761EBC-FC08-4FC8-8E7A-CBCC8AC1ACF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6891BC8-6ADC-4605-A4C7-382303F6212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A341171D-1E23-4586-BA82-A7A0CC6E2A0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FF4DB782-74C1-4118-8CAF-2D77518A923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E993357A-E792-4B5B-92DD-65263CE2165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F4A50948-A41A-4865-BE81-5ECBADB4B6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7CA58D1D-1AEC-4F50-85B8-87976263103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72D6C0E8-70F3-4DF3-9410-3FDF9CA199B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BF601E1C-CE6A-4668-8A5F-0B4581ED003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B7E9ADE2-869F-4904-AE1B-6910DA8594D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B96C8C81-A74F-42C7-9197-FCA016A27BF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57BC5F24-037F-4EAF-8AB5-8000B36129D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C4B349FB-EEA6-44D5-9D07-2E9AF61475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C0E7987-8639-4C5A-8326-75E2CEA90E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BA92603B-E09F-4EFE-B653-41A92453609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CFD5285A-B047-437C-98C6-0D2E7E145DC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A70BD553-102E-48FA-B6DF-ECEE6D6A132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3C46C130-25DD-460B-BC27-A57479BA233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975A3B20-73FA-4264-A808-E6A5385FCA1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ABEA6ED5-EE13-41CF-9B79-7E4C0306545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179EF8D9-6F2B-43B8-86D8-F2C995A0915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AA2065E0-5FAE-409B-9D2C-B5FF6F0889A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8ABC5288-C659-4542-BEF1-7A535E8D470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99DCE3B3-A8E2-4848-9D01-4D2098F588D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38BD421D-00FF-4AE6-A553-D6E537BDD57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BAC348F7-1B10-46BD-AB43-83E1A29609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3799D664-DF16-41C7-BADB-817DD5C2B7D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395BC8FA-7F57-4E1C-AC63-B71D65C38E8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27C47F55-8FA0-41B8-A43B-AF7133F25A3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7A301B11-DF77-4B05-B807-C0790657810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49A0C0CA-83F6-4491-884C-3482E173E61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FC3A0AA9-0573-4D70-8F4E-F37A49622EC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A9CD1D01-1859-4C03-9397-C0AD21301D0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378C7E2B-0531-4B63-8947-04B3C4DE6C0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71850586-8E73-43ED-B2CA-FB3E7319E7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ECB2336A-70BD-4AD8-9A4F-50031A2019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4DF46FE4-0BFE-4793-A27E-1AD5D2E1920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D88EB388-1BAE-4C19-BC10-C2C15FDD972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9D2859CD-5B3D-41C6-A084-274DC7D925D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4A1B2FFB-B910-4CBA-BB2D-E832B567FCF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CE6F2C99-FCC8-49C4-A9B8-B2FAB95955C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4E0C0CE7-BE20-4C76-9C23-94DAF382047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D27E218C-6769-44C5-96D1-EFF221A0091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A5CE89AF-5123-4C6E-AD9D-4A6095BA4A7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6DB0F33E-E118-426B-ABA4-C01E9BB8E4C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1F3A9EAB-3CDF-43A5-A0AD-903E7731B5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4E8D8FD0-2141-43DE-A45E-6F5774224A8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A0E738B1-484A-4B21-8ED6-430F791D942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684CAC14-9F8C-4989-912B-7C58153D73C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CC9E52E3-96B4-4F42-B7CF-226FBA13416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E75AE3FA-12CB-47AC-A723-0B2C770EC13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E0A77E41-B4B9-41AC-B47B-6CBDD069E22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4D0B1069-A9ED-4AAD-A636-CE25EAFB17B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CA6EDD45-DD25-4CB3-B8A0-80D0406200B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8E8E6A64-24A9-4E7E-81A8-CB7F2B92B76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26289E84-B841-4495-9191-A60E8F24F7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49E596F3-D403-4645-A382-8113EA5A2CB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321EB2D3-41C3-4B08-9A9F-E065F1E0701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AF649B7D-00ED-4581-98DA-3E5FEC2597D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C271D0CB-66A8-4AEC-A067-A0D68B72E4E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40EDABF1-02A8-44A0-A6E3-7B8CA0D930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DA83028D-599E-424C-BBDC-2EED08E247D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FDF82B6E-49CA-4829-A1AB-E538BF29B85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189E38A5-82CF-41E2-B4DE-73D2BC56258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3A12C5BC-4B8A-43B2-8010-8E3B7E13E07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23427B99-7769-43CB-9788-FC512A10CF4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AD5EDA1D-9566-430E-A876-A43D1BDE147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4C8ECDE0-0611-4ED4-9731-216C3F595E5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4C8101A-4D08-4C90-8127-F7FCCF75C42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37D54767-D3D2-44BC-88EC-BFCA96DFE74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CB66EF3E-FB6F-4BEA-BFF2-524C588D558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D7A2D3DA-400E-4DCC-8F96-C4A32C30C2E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196B5865-8A0D-4DCA-987D-AAF87CC801D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9DB21F4-0913-4155-AFCE-374BFF5304B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403C9E6D-F2E8-4DB2-A9CE-93AC6C98156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5B58E420-7B17-41B8-9653-86207497DB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D06CB3D5-1222-4708-A8FF-A2E59C9A90C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A33EA1CE-41DF-40C1-AC92-521F89611CF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A06D6DC9-0178-42D2-A5FF-5AF85AB50F9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E5DC1901-126C-43A9-B807-EF59F8A9C08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54702055-0E9E-4899-9C92-F7B5FCA275E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4C3129C8-0E7D-4E37-BD39-0C7DF8CD191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B4D57B4-54BC-47BE-82AE-EB281AF42B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E0ED5225-C99B-4081-8DAE-186AC4CFD0A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CD98699F-B1BA-414A-8747-0229D64AAD1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715C021-EFD1-4C8B-8827-E0D4F43A495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A06C63FA-4992-4129-8D22-540EC610EF2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EF47F70D-C4DF-4C9C-A19A-58CE28F1089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3D6D3C09-E0D1-4758-B77C-B6DB217D6B8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3846BEBB-DB64-4730-93D9-D7F6AD64FBB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AC2D8541-EEE4-4E33-A6CD-BFBAFA5C5DE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53FA939F-1337-4905-8596-F593ED13BC7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90EB863F-51C4-47FF-BB68-2CC004B4D0A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5D27A62B-6CDB-435A-858E-3F36E5B94F4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EF1E2F6D-6788-478B-9F18-61AF8346E8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3A16137A-9EFE-413A-B038-6AECEAAD97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766B90A2-B8B5-4E66-A922-B2A7CBBC79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95EB949E-AC32-47C7-A874-B3AB53ED20C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F55645B5-48D6-42DB-A54E-286E507E654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365BF1A2-D8AC-485D-9F23-852848ACF98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38CCC66D-C550-4966-8B9D-D0FB5FC1A15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7A3150AE-D949-4194-B5B2-115C7BD5EC1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45B4D180-B6FE-4507-A64D-B05DF44EF46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820D9304-A72D-4D4B-A1AF-AA70605E14E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BF2C8E95-5D7C-4CD3-98E5-B74C0C61B6D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BE0B31AC-A752-4BEE-86CD-953BA55C5F6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E1075A75-8281-4A33-882B-CA3825A3EF6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9EF48E8E-219D-41CE-A74F-3DB6DC1C1D7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EC0DD7FB-A3B9-4E97-BABF-B9AF9B77E7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E49E0910-D2DE-485E-99B6-B19D2CC8B1F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94F442CE-EE44-4153-A5B8-D499E823271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7897CFA4-C136-423D-8400-25B25A1DAF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7E97A801-6376-4E8E-B6FD-FCB9D5BFA07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446088B0-3DC3-453E-A9E7-E40DF1027E4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28E674B6-7EA0-4C7A-869C-F4AEB6687DD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2423414E-08EB-4F67-85F3-D799EA21BCF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28AF371B-6760-4950-9EC4-F3CD8440BCB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D8C50AB8-7233-4BBE-AA64-2E8CC3B9913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B5CADB99-9726-4824-98F7-BED2E62727B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D55B9074-264A-4329-AA13-5E52B0C3107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98346106-73CE-4204-9568-8DF2999BB99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F47DB700-D055-4FA9-AB70-7705A3741E1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50BCACFB-431D-46AF-B2D1-D9CDA3B721A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CA218F24-1F6B-4326-BAAB-6C5A959912F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2B78E541-8E62-4CA3-A76F-2A08B828585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14116A3F-AAA9-43ED-9A67-B6FFC275765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46D4B28D-C72F-49AF-9352-27394D7EBE6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F5D5A4CB-D3D5-4C29-B20E-4535228160A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C41AD953-DD06-43AF-A3FD-3594718BB51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B5AB656-824B-4DCC-B67C-2FFE8A84A3F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665455F7-6D5F-45FE-893C-B344362E2EA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8C70C1F3-72EB-46E9-9163-9B033EBCB94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51660C61-5047-43F6-A79E-C2A872CF832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A4464C0A-03B8-4FE4-A686-96ABEF21525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BE15CB85-A80F-4F19-AE7C-CA27878C2DA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C28D129C-95FE-4832-82B2-AAC9033B72F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A36DD8A9-E59F-432E-A0A6-771086DACD5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A155DACE-29C4-4C43-9981-C0F40FF33DB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E946137E-B454-45A0-9799-C0BEB91F5BA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2678DEC9-C4C8-4D8D-ACA5-F694459B9D7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719E9453-B94F-4A9C-8242-A747961B71A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23915DEA-51B8-4A68-95F5-FB8A61DEAD3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A3714ABD-50A5-42B5-B5EE-06F7639C295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D55BF7CC-154E-4CA9-85A8-6D982D89303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FDFD0BA5-A444-41F0-8E74-B475D05FC1E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674B58B3-5551-4806-B558-F6AAB01CB18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9D5CC8E3-0BA1-4C8F-AE74-4816C1DFCC0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C3C13595-9679-4D1D-A354-846924B34EB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6C226F49-BEF0-43EE-A239-2B6D8A11C27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7F156929-23C2-489B-837A-8262BAFD552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A2ABA71E-C3D1-4725-A83D-58E590A0CED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74D59AD6-F7A8-4600-9F89-2F554BF0D7B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B371483E-7BC9-4B09-9184-29B2BB9511B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33FC0092-AAB6-4AA7-9492-C7B37875C68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B3701DD8-0266-4559-B010-63353B40E8B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8E16FB7C-F825-4391-BE6C-05568C31ECF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A13E4F7F-163B-4DC3-884E-640C6B9D85C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726DBA3B-5D18-402D-8352-16D9E78C3F4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32703DBE-D7ED-42ED-8E1C-A9B20DFBD4F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F73F39E3-EE90-45FE-B84C-A208BA8EC8D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7C72285B-1C28-490A-B0F2-E0BD4BED566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3F959C54-F7CD-4B23-BDA0-F21751D1110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3F566425-A228-4C69-953F-C02E1996DE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F0074381-1465-4594-AF1D-7083195E83F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999233AC-E395-4F67-98C8-2D69AF158E7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8B253BE2-6AC4-42E1-A225-AC9F0DD9349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CC86C9F0-BB1E-4AFA-A01D-E7C7792E98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D9841B55-3215-4AE1-B86F-2497ED7FCC0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89322EF2-59DB-458F-B459-DF8E6752C71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E65AFB10-F7DC-4B8E-B515-E540CEFD1BE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B790ADF0-D64F-44A2-8856-71935DACF33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111CE64C-19C9-4A4F-88F7-E1CD1CCAD12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21295854-5D33-4DC4-90FC-E1CA02CE89F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A14F7F9A-06D7-4D8A-8F66-9D777221F0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1AC6474-D805-40AA-A77D-61D025BEB98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665FC9A9-0533-4196-97C0-47E2A4DCAF6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21F53EC8-101F-499B-B2A1-7F27723504F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9D4B1A8C-A6F7-4971-BAC0-97B88D82AD1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94292A61-5F2A-43A1-B50D-9E9CC7795E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354BF925-50AE-43A6-9257-C16F3334391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7FDA29DF-25BC-4971-9C6B-12118B74445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C7013107-A95B-4873-9EEB-59845D7CF39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8A2A7ABD-2E41-4F3E-944F-9F061577AC0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BBC1139-7381-484B-B94E-DD3D5D6696A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51C3301E-59A7-445B-B056-1E698E3F230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C01465C2-C9DA-47C3-94B2-283D94F070A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BBC4D9C2-EEE8-44F3-BBE6-485DB03F5FB9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3F587D03-0833-4E49-B930-F429E698F45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8CC9ED44-8361-46A4-A7C1-6A7B6D3620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6291B1F9-C852-408B-8BC2-C5CDED41A5E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6272D24E-9A5E-4C0A-9D37-62A2C2E74A2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D1AAAE5B-E365-466B-87C8-37908E5B203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F66FFB9B-7F77-4DAD-B282-B2890B404BC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70DB3172-58DD-49B0-B4CF-1032F3E2E02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CCEBD07C-7DCC-4216-B9A1-7A56634025F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C857B150-8C3B-44D7-B629-6890B906DDD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50D4739C-706E-4F6F-952C-C17BD4375D7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1217912B-6A8A-4940-BDE5-1B197E16E58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B61C6F40-1909-4E25-AFB7-6B6F7DD8E73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9D4D4399-1886-42D2-8F8E-CF81C52AE92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7CF6B94C-00B4-4FE5-AFBF-91C45A47F17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15E77BAB-2345-4597-843C-944B34CC0B9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56C960DE-ED09-4990-8534-3A0C0C9467E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54117253-3DE1-4B19-88F6-A2F1197C34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30357181-B30B-41B3-A6C3-0C52989190B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A33B6007-E08A-4743-A9B0-6EA56C0EE21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8561D770-5E04-4C44-829D-06E7B852145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5B39CB80-261E-45D4-B9E8-1466257FFAE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8DAC1D81-7DB2-40CA-8E74-E6C268A1221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FC03E491-3FF8-43F8-A7A1-C8EADAF5691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A1DE4B7B-7E83-4E00-B762-0489EB97522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6BBBC86C-1C3F-46B6-99BA-3E63044F4BE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31BE9CF8-435B-4382-8A98-A276BB88102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7A85FD50-E76C-4A83-9A66-00CBDF4F6CA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CAE86566-9D34-470C-85F1-A7807E2DC9E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14809C0E-C28F-42AC-AA49-06556F5E13DD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6663D4F5-FB08-4833-AAEE-5D88FD729FF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865C906C-5869-40C1-8195-9FDF481AF06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FD7A831D-8156-4C35-BD44-0E408592E2B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B6A065B2-36A6-4F01-A9B9-151FE2BC0C9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A145E389-207C-4C55-A61C-AD5D240DD6D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1EAF6CCA-38F2-4A7E-BC34-66BC0A7DD3F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5D8D5801-02AD-4D4D-84BF-15A8CDB3BB3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2246B5D2-2A86-4DCC-A36F-465F412D1E0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8218CF9F-7C0F-470D-8409-1866DAA7F8D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B8634AF9-4423-4394-9574-83113EE18C51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36E2FB5-7EB4-40B6-9FB0-0E09732E1A9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3F6EC0C2-3180-4E29-8552-785EAF32B2C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33C26981-A8CD-422F-83D6-C5397427A14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1108CF0B-851C-4FFD-943C-D44BC579FEA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4CCDF3FD-47BA-4B2B-8F2B-596C99E701B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BC0D649D-C0BD-4783-A45D-2B4745279D0B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5700A580-0940-487E-84F3-D96563C68E9E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13410605-67F4-4B8A-A3E6-10C80FFDAC6F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2233E62B-A940-4FDE-BD51-A4038701912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1DA455E7-FA3B-47A1-B09E-9B0129226D6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8080CB4D-FE1E-4D70-95DD-8A79A64EF87A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D381EF67-9D85-45F4-82AF-187501966D3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FB287CC4-FA03-46DF-AF12-1D03B5E78347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EB0549B3-7DDE-45CE-9EA4-86CEFA52BBB2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FB5F886C-C792-4EA4-8A5F-A3D00E81038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255198D7-C01D-4DEE-936A-725EC94C15FC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FFE8C2FB-F430-4C27-8D40-4A3D19B0F744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C17134EB-AE94-4B32-93B1-4C20A603CC03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4B8C55C5-9391-4B7C-8C7D-103DB495D89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9E07AC94-D126-4A84-B171-C6E643F956D0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73969DD5-AB13-442B-B610-E0DAB2DA7586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455B042F-68E8-4665-9C8A-AF3327F8CEB5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1891</xdr:row>
      <xdr:rowOff>0</xdr:rowOff>
    </xdr:from>
    <xdr:ext cx="77781" cy="19842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A1CBCB4D-3997-448B-9ED2-EB14FD6AB958}"/>
            </a:ext>
          </a:extLst>
        </xdr:cNvPr>
        <xdr:cNvSpPr txBox="1"/>
      </xdr:nvSpPr>
      <xdr:spPr>
        <a:xfrm>
          <a:off x="0" y="7629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384A-FFFB-46BF-86D8-E5EC826F3443}">
  <dimension ref="A1:P289"/>
  <sheetViews>
    <sheetView topLeftCell="A204" workbookViewId="0">
      <selection activeCell="J293" sqref="J293"/>
    </sheetView>
  </sheetViews>
  <sheetFormatPr defaultRowHeight="14.25" x14ac:dyDescent="0.2"/>
  <cols>
    <col min="1" max="1" width="4.7109375" style="10" customWidth="1"/>
    <col min="2" max="2" width="15.42578125" style="10" customWidth="1"/>
    <col min="3" max="3" width="35" style="10" customWidth="1"/>
    <col min="4" max="4" width="7.140625" style="10" customWidth="1"/>
    <col min="5" max="5" width="15.7109375" style="232" customWidth="1"/>
    <col min="6" max="6" width="8" style="10" customWidth="1"/>
    <col min="7" max="7" width="7" style="10" customWidth="1"/>
    <col min="8" max="8" width="8.7109375" style="10" customWidth="1"/>
    <col min="9" max="9" width="8.140625" style="10" customWidth="1"/>
    <col min="10" max="10" width="28.7109375" style="10" customWidth="1"/>
    <col min="11" max="11" width="14.28515625" style="10" customWidth="1"/>
    <col min="12" max="12" width="14.42578125" style="10" customWidth="1"/>
    <col min="13" max="13" width="5.42578125" style="10" customWidth="1"/>
    <col min="14" max="14" width="6" style="10" customWidth="1"/>
    <col min="15" max="15" width="34.85546875" style="10" customWidth="1"/>
    <col min="16" max="16384" width="9.140625" style="10"/>
  </cols>
  <sheetData>
    <row r="1" spans="1:16" x14ac:dyDescent="0.2">
      <c r="A1" s="259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2">
      <c r="A2" s="259" t="s">
        <v>1408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6" x14ac:dyDescent="0.2">
      <c r="A3" s="259" t="s">
        <v>1464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16" x14ac:dyDescent="0.2">
      <c r="A4" s="259" t="s">
        <v>1439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6" x14ac:dyDescent="0.2">
      <c r="A5" s="263" t="s">
        <v>2</v>
      </c>
      <c r="B5" s="257"/>
      <c r="C5" s="257"/>
      <c r="D5" s="257"/>
      <c r="E5" s="257"/>
      <c r="F5" s="257"/>
      <c r="G5" s="257"/>
      <c r="H5" s="257"/>
      <c r="I5" s="263" t="s">
        <v>1465</v>
      </c>
      <c r="J5" s="257"/>
      <c r="K5" s="257"/>
      <c r="L5" s="257"/>
      <c r="M5" s="257"/>
      <c r="N5" s="257"/>
      <c r="O5" s="257"/>
    </row>
    <row r="6" spans="1:16" x14ac:dyDescent="0.2">
      <c r="A6" s="259" t="s">
        <v>1466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</row>
    <row r="7" spans="1:16" x14ac:dyDescent="0.2">
      <c r="A7" s="259" t="s">
        <v>1439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</row>
    <row r="8" spans="1:16" ht="27.75" customHeight="1" x14ac:dyDescent="0.2">
      <c r="A8" s="260" t="s">
        <v>1467</v>
      </c>
      <c r="B8" s="260" t="s">
        <v>1468</v>
      </c>
      <c r="C8" s="260" t="s">
        <v>1469</v>
      </c>
      <c r="D8" s="260" t="s">
        <v>6</v>
      </c>
      <c r="E8" s="260" t="s">
        <v>9</v>
      </c>
      <c r="F8" s="260" t="s">
        <v>1470</v>
      </c>
      <c r="G8" s="261"/>
      <c r="H8" s="261"/>
      <c r="I8" s="261"/>
      <c r="J8" s="260" t="s">
        <v>1471</v>
      </c>
      <c r="K8" s="260" t="s">
        <v>1472</v>
      </c>
      <c r="L8" s="261"/>
      <c r="M8" s="261"/>
      <c r="N8" s="261"/>
      <c r="O8" s="225" t="s">
        <v>1473</v>
      </c>
      <c r="P8" s="226"/>
    </row>
    <row r="9" spans="1:16" ht="38.25" x14ac:dyDescent="0.2">
      <c r="A9" s="261"/>
      <c r="B9" s="261"/>
      <c r="C9" s="261"/>
      <c r="D9" s="261"/>
      <c r="E9" s="262"/>
      <c r="F9" s="225" t="s">
        <v>1474</v>
      </c>
      <c r="G9" s="225" t="s">
        <v>1475</v>
      </c>
      <c r="H9" s="225" t="s">
        <v>1476</v>
      </c>
      <c r="I9" s="225" t="s">
        <v>1477</v>
      </c>
      <c r="J9" s="261"/>
      <c r="K9" s="225" t="s">
        <v>1478</v>
      </c>
      <c r="L9" s="225" t="s">
        <v>1479</v>
      </c>
      <c r="M9" s="225" t="s">
        <v>1480</v>
      </c>
      <c r="N9" s="225" t="s">
        <v>1481</v>
      </c>
      <c r="O9" s="225" t="s">
        <v>1482</v>
      </c>
      <c r="P9" s="226"/>
    </row>
    <row r="10" spans="1:16" x14ac:dyDescent="0.2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25">
        <v>6</v>
      </c>
      <c r="G10" s="225">
        <v>7</v>
      </c>
      <c r="H10" s="225">
        <v>8</v>
      </c>
      <c r="I10" s="225">
        <v>9</v>
      </c>
      <c r="J10" s="225">
        <v>10</v>
      </c>
      <c r="K10" s="225">
        <v>11</v>
      </c>
      <c r="L10" s="225">
        <v>12</v>
      </c>
      <c r="M10" s="225">
        <v>13</v>
      </c>
      <c r="N10" s="225">
        <v>14</v>
      </c>
      <c r="O10" s="225">
        <v>15</v>
      </c>
      <c r="P10" s="226"/>
    </row>
    <row r="11" spans="1:16" ht="42.75" x14ac:dyDescent="0.2">
      <c r="A11" s="227">
        <v>2</v>
      </c>
      <c r="B11" s="225" t="s">
        <v>50</v>
      </c>
      <c r="C11" s="228" t="s">
        <v>51</v>
      </c>
      <c r="D11" s="225" t="s">
        <v>26</v>
      </c>
      <c r="E11" s="225" t="s">
        <v>52</v>
      </c>
      <c r="F11" s="229" t="s">
        <v>1483</v>
      </c>
      <c r="G11" s="229" t="s">
        <v>1483</v>
      </c>
      <c r="H11" s="229" t="s">
        <v>1484</v>
      </c>
      <c r="I11" s="229" t="s">
        <v>1484</v>
      </c>
      <c r="J11" s="225" t="s">
        <v>1485</v>
      </c>
      <c r="K11" s="230">
        <v>4797450.46</v>
      </c>
      <c r="L11" s="230">
        <v>4797450.46</v>
      </c>
      <c r="M11" s="230">
        <v>0</v>
      </c>
      <c r="N11" s="230">
        <v>0</v>
      </c>
      <c r="O11" s="4" t="s">
        <v>1486</v>
      </c>
    </row>
    <row r="12" spans="1:16" hidden="1" x14ac:dyDescent="0.2">
      <c r="A12" s="227">
        <v>28</v>
      </c>
      <c r="B12" s="225"/>
      <c r="C12" s="228" t="s">
        <v>53</v>
      </c>
      <c r="D12" s="225" t="s">
        <v>27</v>
      </c>
      <c r="E12" s="225"/>
      <c r="F12" s="228"/>
      <c r="G12" s="228"/>
      <c r="H12" s="228"/>
      <c r="I12" s="228"/>
      <c r="J12" s="225"/>
      <c r="K12" s="230">
        <v>2595999.96</v>
      </c>
      <c r="L12" s="230">
        <v>2595999.96</v>
      </c>
      <c r="M12" s="228"/>
      <c r="N12" s="228"/>
      <c r="O12" s="228" t="s">
        <v>1487</v>
      </c>
    </row>
    <row r="13" spans="1:16" ht="25.5" hidden="1" x14ac:dyDescent="0.2">
      <c r="A13" s="227">
        <v>29</v>
      </c>
      <c r="B13" s="225"/>
      <c r="C13" s="228" t="s">
        <v>60</v>
      </c>
      <c r="D13" s="225" t="s">
        <v>27</v>
      </c>
      <c r="E13" s="225"/>
      <c r="F13" s="228"/>
      <c r="G13" s="228"/>
      <c r="H13" s="228"/>
      <c r="I13" s="228"/>
      <c r="J13" s="225"/>
      <c r="K13" s="230">
        <v>1147622</v>
      </c>
      <c r="L13" s="230">
        <v>1147622</v>
      </c>
      <c r="M13" s="228"/>
      <c r="N13" s="228"/>
      <c r="O13" s="228" t="s">
        <v>1487</v>
      </c>
    </row>
    <row r="14" spans="1:16" ht="25.5" hidden="1" x14ac:dyDescent="0.2">
      <c r="A14" s="227">
        <v>30</v>
      </c>
      <c r="B14" s="225"/>
      <c r="C14" s="228" t="s">
        <v>59</v>
      </c>
      <c r="D14" s="225" t="s">
        <v>27</v>
      </c>
      <c r="E14" s="225"/>
      <c r="F14" s="228"/>
      <c r="G14" s="228"/>
      <c r="H14" s="228"/>
      <c r="I14" s="228"/>
      <c r="J14" s="225"/>
      <c r="K14" s="230">
        <v>606993.5</v>
      </c>
      <c r="L14" s="230">
        <v>606993.5</v>
      </c>
      <c r="M14" s="228"/>
      <c r="N14" s="228"/>
      <c r="O14" s="228" t="s">
        <v>1487</v>
      </c>
    </row>
    <row r="15" spans="1:16" hidden="1" x14ac:dyDescent="0.2">
      <c r="A15" s="227">
        <v>31</v>
      </c>
      <c r="B15" s="225"/>
      <c r="C15" s="228" t="s">
        <v>39</v>
      </c>
      <c r="D15" s="225" t="s">
        <v>27</v>
      </c>
      <c r="E15" s="225"/>
      <c r="F15" s="228"/>
      <c r="G15" s="228"/>
      <c r="H15" s="228"/>
      <c r="I15" s="228"/>
      <c r="J15" s="225"/>
      <c r="K15" s="230">
        <v>446835</v>
      </c>
      <c r="L15" s="230">
        <v>446835</v>
      </c>
      <c r="M15" s="228"/>
      <c r="N15" s="228"/>
      <c r="O15" s="228" t="s">
        <v>1487</v>
      </c>
    </row>
    <row r="16" spans="1:16" ht="42.75" x14ac:dyDescent="0.2">
      <c r="A16" s="227">
        <v>3</v>
      </c>
      <c r="B16" s="225" t="s">
        <v>61</v>
      </c>
      <c r="C16" s="228" t="s">
        <v>62</v>
      </c>
      <c r="D16" s="225" t="s">
        <v>26</v>
      </c>
      <c r="E16" s="225" t="s">
        <v>52</v>
      </c>
      <c r="F16" s="229" t="s">
        <v>1488</v>
      </c>
      <c r="G16" s="229" t="s">
        <v>1488</v>
      </c>
      <c r="H16" s="229" t="s">
        <v>1489</v>
      </c>
      <c r="I16" s="229" t="s">
        <v>1489</v>
      </c>
      <c r="J16" s="225" t="s">
        <v>1485</v>
      </c>
      <c r="K16" s="230">
        <v>17326157.98</v>
      </c>
      <c r="L16" s="230">
        <v>17326157.98</v>
      </c>
      <c r="M16" s="230">
        <v>0</v>
      </c>
      <c r="N16" s="230">
        <v>0</v>
      </c>
      <c r="O16" s="4" t="s">
        <v>1486</v>
      </c>
    </row>
    <row r="17" spans="1:15" ht="42.75" hidden="1" x14ac:dyDescent="0.2">
      <c r="A17" s="227">
        <v>33</v>
      </c>
      <c r="B17" s="225"/>
      <c r="C17" s="228" t="s">
        <v>40</v>
      </c>
      <c r="D17" s="225" t="s">
        <v>27</v>
      </c>
      <c r="E17" s="225"/>
      <c r="F17" s="229" t="s">
        <v>1490</v>
      </c>
      <c r="G17" s="229" t="s">
        <v>1490</v>
      </c>
      <c r="H17" s="229" t="s">
        <v>1490</v>
      </c>
      <c r="I17" s="229" t="s">
        <v>1490</v>
      </c>
      <c r="J17" s="225"/>
      <c r="K17" s="230">
        <v>1280560</v>
      </c>
      <c r="L17" s="230">
        <v>1280560</v>
      </c>
      <c r="M17" s="228"/>
      <c r="N17" s="228"/>
      <c r="O17" s="228" t="s">
        <v>1487</v>
      </c>
    </row>
    <row r="18" spans="1:15" ht="42.75" hidden="1" x14ac:dyDescent="0.2">
      <c r="A18" s="227">
        <v>34</v>
      </c>
      <c r="B18" s="225"/>
      <c r="C18" s="228" t="s">
        <v>68</v>
      </c>
      <c r="D18" s="225" t="s">
        <v>27</v>
      </c>
      <c r="E18" s="225"/>
      <c r="F18" s="229" t="s">
        <v>1491</v>
      </c>
      <c r="G18" s="229" t="s">
        <v>1491</v>
      </c>
      <c r="H18" s="229" t="s">
        <v>1491</v>
      </c>
      <c r="I18" s="229" t="s">
        <v>1491</v>
      </c>
      <c r="J18" s="225"/>
      <c r="K18" s="230">
        <v>199000</v>
      </c>
      <c r="L18" s="230">
        <v>199000</v>
      </c>
      <c r="M18" s="228"/>
      <c r="N18" s="228"/>
      <c r="O18" s="228" t="s">
        <v>1487</v>
      </c>
    </row>
    <row r="19" spans="1:15" ht="42.75" hidden="1" x14ac:dyDescent="0.2">
      <c r="A19" s="227">
        <v>35</v>
      </c>
      <c r="B19" s="225"/>
      <c r="C19" s="228" t="s">
        <v>85</v>
      </c>
      <c r="D19" s="225" t="s">
        <v>27</v>
      </c>
      <c r="E19" s="225"/>
      <c r="F19" s="229" t="s">
        <v>1492</v>
      </c>
      <c r="G19" s="229" t="s">
        <v>1492</v>
      </c>
      <c r="H19" s="229" t="s">
        <v>1492</v>
      </c>
      <c r="I19" s="229" t="s">
        <v>1492</v>
      </c>
      <c r="J19" s="225"/>
      <c r="K19" s="230">
        <v>1500000</v>
      </c>
      <c r="L19" s="230">
        <v>1500000</v>
      </c>
      <c r="M19" s="228"/>
      <c r="N19" s="228"/>
      <c r="O19" s="228" t="s">
        <v>1487</v>
      </c>
    </row>
    <row r="20" spans="1:15" ht="42.75" hidden="1" x14ac:dyDescent="0.2">
      <c r="A20" s="227">
        <v>36</v>
      </c>
      <c r="B20" s="225"/>
      <c r="C20" s="228" t="s">
        <v>45</v>
      </c>
      <c r="D20" s="225" t="s">
        <v>27</v>
      </c>
      <c r="E20" s="225"/>
      <c r="F20" s="229" t="s">
        <v>1493</v>
      </c>
      <c r="G20" s="229" t="s">
        <v>1493</v>
      </c>
      <c r="H20" s="229" t="s">
        <v>1493</v>
      </c>
      <c r="I20" s="229" t="s">
        <v>1493</v>
      </c>
      <c r="J20" s="225"/>
      <c r="K20" s="230">
        <v>1504940</v>
      </c>
      <c r="L20" s="230">
        <v>1504940</v>
      </c>
      <c r="M20" s="228"/>
      <c r="N20" s="228"/>
      <c r="O20" s="228" t="s">
        <v>1487</v>
      </c>
    </row>
    <row r="21" spans="1:15" ht="42.75" hidden="1" x14ac:dyDescent="0.2">
      <c r="A21" s="227">
        <v>37</v>
      </c>
      <c r="B21" s="225"/>
      <c r="C21" s="228" t="s">
        <v>82</v>
      </c>
      <c r="D21" s="225" t="s">
        <v>27</v>
      </c>
      <c r="E21" s="225"/>
      <c r="F21" s="229" t="s">
        <v>1494</v>
      </c>
      <c r="G21" s="229" t="s">
        <v>1494</v>
      </c>
      <c r="H21" s="229" t="s">
        <v>1494</v>
      </c>
      <c r="I21" s="229" t="s">
        <v>1494</v>
      </c>
      <c r="J21" s="225"/>
      <c r="K21" s="230">
        <v>102338.5</v>
      </c>
      <c r="L21" s="230">
        <v>102338.5</v>
      </c>
      <c r="M21" s="228"/>
      <c r="N21" s="228"/>
      <c r="O21" s="228" t="s">
        <v>1487</v>
      </c>
    </row>
    <row r="22" spans="1:15" ht="42.75" hidden="1" x14ac:dyDescent="0.2">
      <c r="A22" s="227">
        <v>38</v>
      </c>
      <c r="B22" s="225"/>
      <c r="C22" s="228" t="s">
        <v>79</v>
      </c>
      <c r="D22" s="225" t="s">
        <v>27</v>
      </c>
      <c r="E22" s="225"/>
      <c r="F22" s="229" t="s">
        <v>1495</v>
      </c>
      <c r="G22" s="229" t="s">
        <v>1495</v>
      </c>
      <c r="H22" s="229" t="s">
        <v>1495</v>
      </c>
      <c r="I22" s="229" t="s">
        <v>1495</v>
      </c>
      <c r="J22" s="225"/>
      <c r="K22" s="230">
        <v>200000</v>
      </c>
      <c r="L22" s="230">
        <v>200000</v>
      </c>
      <c r="M22" s="228"/>
      <c r="N22" s="228"/>
      <c r="O22" s="228" t="s">
        <v>1487</v>
      </c>
    </row>
    <row r="23" spans="1:15" ht="42.75" hidden="1" x14ac:dyDescent="0.2">
      <c r="A23" s="227">
        <v>39</v>
      </c>
      <c r="B23" s="225"/>
      <c r="C23" s="228" t="s">
        <v>72</v>
      </c>
      <c r="D23" s="225" t="s">
        <v>27</v>
      </c>
      <c r="E23" s="225"/>
      <c r="F23" s="229" t="s">
        <v>1496</v>
      </c>
      <c r="G23" s="229" t="s">
        <v>1496</v>
      </c>
      <c r="H23" s="229" t="s">
        <v>1496</v>
      </c>
      <c r="I23" s="229" t="s">
        <v>1496</v>
      </c>
      <c r="J23" s="225"/>
      <c r="K23" s="230">
        <v>2016000</v>
      </c>
      <c r="L23" s="230">
        <v>2016000</v>
      </c>
      <c r="M23" s="228"/>
      <c r="N23" s="228"/>
      <c r="O23" s="228" t="s">
        <v>1487</v>
      </c>
    </row>
    <row r="24" spans="1:15" ht="42.75" hidden="1" x14ac:dyDescent="0.2">
      <c r="A24" s="227">
        <v>40</v>
      </c>
      <c r="B24" s="225"/>
      <c r="C24" s="228" t="s">
        <v>89</v>
      </c>
      <c r="D24" s="225" t="s">
        <v>27</v>
      </c>
      <c r="E24" s="225"/>
      <c r="F24" s="229" t="s">
        <v>1497</v>
      </c>
      <c r="G24" s="229" t="s">
        <v>1497</v>
      </c>
      <c r="H24" s="229" t="s">
        <v>1497</v>
      </c>
      <c r="I24" s="229" t="s">
        <v>1497</v>
      </c>
      <c r="J24" s="225"/>
      <c r="K24" s="230">
        <v>230400</v>
      </c>
      <c r="L24" s="230">
        <v>230400</v>
      </c>
      <c r="M24" s="228"/>
      <c r="N24" s="228"/>
      <c r="O24" s="228" t="s">
        <v>1487</v>
      </c>
    </row>
    <row r="25" spans="1:15" ht="42.75" hidden="1" x14ac:dyDescent="0.2">
      <c r="A25" s="227">
        <v>41</v>
      </c>
      <c r="B25" s="225"/>
      <c r="C25" s="228" t="s">
        <v>76</v>
      </c>
      <c r="D25" s="225" t="s">
        <v>27</v>
      </c>
      <c r="E25" s="225"/>
      <c r="F25" s="229" t="s">
        <v>1498</v>
      </c>
      <c r="G25" s="229" t="s">
        <v>1498</v>
      </c>
      <c r="H25" s="229" t="s">
        <v>1498</v>
      </c>
      <c r="I25" s="229" t="s">
        <v>1498</v>
      </c>
      <c r="J25" s="225"/>
      <c r="K25" s="230">
        <v>119400</v>
      </c>
      <c r="L25" s="230">
        <v>119400</v>
      </c>
      <c r="M25" s="228"/>
      <c r="N25" s="228"/>
      <c r="O25" s="228" t="s">
        <v>1487</v>
      </c>
    </row>
    <row r="26" spans="1:15" ht="42.75" hidden="1" x14ac:dyDescent="0.2">
      <c r="A26" s="227">
        <v>42</v>
      </c>
      <c r="B26" s="225"/>
      <c r="C26" s="228" t="s">
        <v>73</v>
      </c>
      <c r="D26" s="225" t="s">
        <v>27</v>
      </c>
      <c r="E26" s="225"/>
      <c r="F26" s="229" t="s">
        <v>1499</v>
      </c>
      <c r="G26" s="229" t="s">
        <v>1499</v>
      </c>
      <c r="H26" s="229" t="s">
        <v>1499</v>
      </c>
      <c r="I26" s="229" t="s">
        <v>1499</v>
      </c>
      <c r="J26" s="225"/>
      <c r="K26" s="230">
        <v>462790</v>
      </c>
      <c r="L26" s="230">
        <v>462790</v>
      </c>
      <c r="M26" s="228"/>
      <c r="N26" s="228"/>
      <c r="O26" s="228" t="s">
        <v>1487</v>
      </c>
    </row>
    <row r="27" spans="1:15" ht="42.75" hidden="1" x14ac:dyDescent="0.2">
      <c r="A27" s="227">
        <v>43</v>
      </c>
      <c r="B27" s="225"/>
      <c r="C27" s="228" t="s">
        <v>87</v>
      </c>
      <c r="D27" s="225" t="s">
        <v>27</v>
      </c>
      <c r="E27" s="225"/>
      <c r="F27" s="229" t="s">
        <v>1500</v>
      </c>
      <c r="G27" s="229" t="s">
        <v>1500</v>
      </c>
      <c r="H27" s="229" t="s">
        <v>1500</v>
      </c>
      <c r="I27" s="229" t="s">
        <v>1500</v>
      </c>
      <c r="J27" s="225"/>
      <c r="K27" s="230">
        <v>13145</v>
      </c>
      <c r="L27" s="230">
        <v>13145</v>
      </c>
      <c r="M27" s="228"/>
      <c r="N27" s="228"/>
      <c r="O27" s="228" t="s">
        <v>1487</v>
      </c>
    </row>
    <row r="28" spans="1:15" ht="51" hidden="1" x14ac:dyDescent="0.2">
      <c r="A28" s="227">
        <v>44</v>
      </c>
      <c r="B28" s="225"/>
      <c r="C28" s="228" t="s">
        <v>654</v>
      </c>
      <c r="D28" s="225" t="s">
        <v>27</v>
      </c>
      <c r="E28" s="225"/>
      <c r="F28" s="229" t="s">
        <v>1501</v>
      </c>
      <c r="G28" s="229" t="s">
        <v>1501</v>
      </c>
      <c r="H28" s="229" t="s">
        <v>1501</v>
      </c>
      <c r="I28" s="229" t="s">
        <v>1501</v>
      </c>
      <c r="J28" s="225"/>
      <c r="K28" s="230">
        <v>133080</v>
      </c>
      <c r="L28" s="230">
        <v>133080</v>
      </c>
      <c r="M28" s="228"/>
      <c r="N28" s="228"/>
      <c r="O28" s="228" t="s">
        <v>1487</v>
      </c>
    </row>
    <row r="29" spans="1:15" ht="42.75" hidden="1" x14ac:dyDescent="0.2">
      <c r="A29" s="227">
        <v>45</v>
      </c>
      <c r="B29" s="225"/>
      <c r="C29" s="228" t="s">
        <v>596</v>
      </c>
      <c r="D29" s="225" t="s">
        <v>27</v>
      </c>
      <c r="E29" s="225"/>
      <c r="F29" s="229" t="s">
        <v>1502</v>
      </c>
      <c r="G29" s="229" t="s">
        <v>1502</v>
      </c>
      <c r="H29" s="229" t="s">
        <v>1502</v>
      </c>
      <c r="I29" s="229" t="s">
        <v>1502</v>
      </c>
      <c r="J29" s="225"/>
      <c r="K29" s="230">
        <v>200920</v>
      </c>
      <c r="L29" s="230">
        <v>200920</v>
      </c>
      <c r="M29" s="228"/>
      <c r="N29" s="228"/>
      <c r="O29" s="228" t="s">
        <v>1487</v>
      </c>
    </row>
    <row r="30" spans="1:15" ht="42.75" hidden="1" x14ac:dyDescent="0.2">
      <c r="A30" s="227">
        <v>46</v>
      </c>
      <c r="B30" s="225"/>
      <c r="C30" s="228" t="s">
        <v>49</v>
      </c>
      <c r="D30" s="225" t="s">
        <v>27</v>
      </c>
      <c r="E30" s="225"/>
      <c r="F30" s="229" t="s">
        <v>1503</v>
      </c>
      <c r="G30" s="229" t="s">
        <v>1503</v>
      </c>
      <c r="H30" s="229" t="s">
        <v>1503</v>
      </c>
      <c r="I30" s="229" t="s">
        <v>1503</v>
      </c>
      <c r="J30" s="225"/>
      <c r="K30" s="230">
        <v>266000</v>
      </c>
      <c r="L30" s="230">
        <v>266000</v>
      </c>
      <c r="M30" s="228"/>
      <c r="N30" s="228"/>
      <c r="O30" s="228" t="s">
        <v>1487</v>
      </c>
    </row>
    <row r="31" spans="1:15" ht="42.75" hidden="1" x14ac:dyDescent="0.2">
      <c r="A31" s="227">
        <v>47</v>
      </c>
      <c r="B31" s="225"/>
      <c r="C31" s="228" t="s">
        <v>29</v>
      </c>
      <c r="D31" s="225" t="s">
        <v>27</v>
      </c>
      <c r="E31" s="225"/>
      <c r="F31" s="229" t="s">
        <v>1504</v>
      </c>
      <c r="G31" s="229" t="s">
        <v>1504</v>
      </c>
      <c r="H31" s="229" t="s">
        <v>1504</v>
      </c>
      <c r="I31" s="229" t="s">
        <v>1504</v>
      </c>
      <c r="J31" s="225"/>
      <c r="K31" s="230">
        <v>297300</v>
      </c>
      <c r="L31" s="230">
        <v>297300</v>
      </c>
      <c r="M31" s="228"/>
      <c r="N31" s="228"/>
      <c r="O31" s="228" t="s">
        <v>1487</v>
      </c>
    </row>
    <row r="32" spans="1:15" ht="42.75" hidden="1" x14ac:dyDescent="0.2">
      <c r="A32" s="227">
        <v>48</v>
      </c>
      <c r="B32" s="225"/>
      <c r="C32" s="228" t="s">
        <v>90</v>
      </c>
      <c r="D32" s="225" t="s">
        <v>27</v>
      </c>
      <c r="E32" s="225"/>
      <c r="F32" s="229" t="s">
        <v>1505</v>
      </c>
      <c r="G32" s="229" t="s">
        <v>1505</v>
      </c>
      <c r="H32" s="229" t="s">
        <v>1505</v>
      </c>
      <c r="I32" s="229" t="s">
        <v>1505</v>
      </c>
      <c r="J32" s="225"/>
      <c r="K32" s="230">
        <v>600000</v>
      </c>
      <c r="L32" s="230">
        <v>600000</v>
      </c>
      <c r="M32" s="228"/>
      <c r="N32" s="228"/>
      <c r="O32" s="228" t="s">
        <v>1487</v>
      </c>
    </row>
    <row r="33" spans="1:15" ht="42.75" hidden="1" x14ac:dyDescent="0.2">
      <c r="A33" s="227">
        <v>49</v>
      </c>
      <c r="B33" s="225"/>
      <c r="C33" s="228" t="s">
        <v>647</v>
      </c>
      <c r="D33" s="225" t="s">
        <v>27</v>
      </c>
      <c r="E33" s="225"/>
      <c r="F33" s="229" t="s">
        <v>1506</v>
      </c>
      <c r="G33" s="229" t="s">
        <v>1506</v>
      </c>
      <c r="H33" s="229" t="s">
        <v>1506</v>
      </c>
      <c r="I33" s="229" t="s">
        <v>1506</v>
      </c>
      <c r="J33" s="225"/>
      <c r="K33" s="230">
        <v>176260</v>
      </c>
      <c r="L33" s="230">
        <v>176260</v>
      </c>
      <c r="M33" s="228"/>
      <c r="N33" s="228"/>
      <c r="O33" s="228" t="s">
        <v>1487</v>
      </c>
    </row>
    <row r="34" spans="1:15" ht="42.75" hidden="1" x14ac:dyDescent="0.2">
      <c r="A34" s="227">
        <v>50</v>
      </c>
      <c r="B34" s="225"/>
      <c r="C34" s="228" t="s">
        <v>64</v>
      </c>
      <c r="D34" s="225" t="s">
        <v>27</v>
      </c>
      <c r="E34" s="225"/>
      <c r="F34" s="229" t="s">
        <v>1507</v>
      </c>
      <c r="G34" s="229" t="s">
        <v>1507</v>
      </c>
      <c r="H34" s="229" t="s">
        <v>1507</v>
      </c>
      <c r="I34" s="229" t="s">
        <v>1507</v>
      </c>
      <c r="J34" s="225"/>
      <c r="K34" s="230">
        <v>80125</v>
      </c>
      <c r="L34" s="230">
        <v>80125</v>
      </c>
      <c r="M34" s="228"/>
      <c r="N34" s="228"/>
      <c r="O34" s="228" t="s">
        <v>1487</v>
      </c>
    </row>
    <row r="35" spans="1:15" ht="42.75" hidden="1" x14ac:dyDescent="0.2">
      <c r="A35" s="227">
        <v>51</v>
      </c>
      <c r="B35" s="225"/>
      <c r="C35" s="228" t="s">
        <v>69</v>
      </c>
      <c r="D35" s="225" t="s">
        <v>27</v>
      </c>
      <c r="E35" s="225"/>
      <c r="F35" s="229" t="s">
        <v>1508</v>
      </c>
      <c r="G35" s="229" t="s">
        <v>1508</v>
      </c>
      <c r="H35" s="229" t="s">
        <v>1508</v>
      </c>
      <c r="I35" s="229" t="s">
        <v>1508</v>
      </c>
      <c r="J35" s="225"/>
      <c r="K35" s="230">
        <v>1200000</v>
      </c>
      <c r="L35" s="230">
        <v>1200000</v>
      </c>
      <c r="M35" s="228"/>
      <c r="N35" s="228"/>
      <c r="O35" s="228" t="s">
        <v>1487</v>
      </c>
    </row>
    <row r="36" spans="1:15" ht="42.75" hidden="1" x14ac:dyDescent="0.2">
      <c r="A36" s="227">
        <v>52</v>
      </c>
      <c r="B36" s="225"/>
      <c r="C36" s="228" t="s">
        <v>74</v>
      </c>
      <c r="D36" s="225" t="s">
        <v>27</v>
      </c>
      <c r="E36" s="225"/>
      <c r="F36" s="229" t="s">
        <v>1509</v>
      </c>
      <c r="G36" s="229" t="s">
        <v>1509</v>
      </c>
      <c r="H36" s="229" t="s">
        <v>1509</v>
      </c>
      <c r="I36" s="229" t="s">
        <v>1509</v>
      </c>
      <c r="J36" s="225"/>
      <c r="K36" s="230">
        <v>760199.5</v>
      </c>
      <c r="L36" s="230">
        <v>760199.5</v>
      </c>
      <c r="M36" s="228"/>
      <c r="N36" s="228"/>
      <c r="O36" s="228" t="s">
        <v>1487</v>
      </c>
    </row>
    <row r="37" spans="1:15" ht="42.75" hidden="1" x14ac:dyDescent="0.2">
      <c r="A37" s="227">
        <v>53</v>
      </c>
      <c r="B37" s="225"/>
      <c r="C37" s="228" t="s">
        <v>88</v>
      </c>
      <c r="D37" s="225" t="s">
        <v>27</v>
      </c>
      <c r="E37" s="225"/>
      <c r="F37" s="229" t="s">
        <v>1510</v>
      </c>
      <c r="G37" s="229" t="s">
        <v>1510</v>
      </c>
      <c r="H37" s="229" t="s">
        <v>1510</v>
      </c>
      <c r="I37" s="229" t="s">
        <v>1510</v>
      </c>
      <c r="J37" s="225"/>
      <c r="K37" s="230">
        <v>1141411</v>
      </c>
      <c r="L37" s="230">
        <v>1141411</v>
      </c>
      <c r="M37" s="228"/>
      <c r="N37" s="228"/>
      <c r="O37" s="228" t="s">
        <v>1487</v>
      </c>
    </row>
    <row r="38" spans="1:15" ht="42.75" hidden="1" x14ac:dyDescent="0.2">
      <c r="A38" s="227">
        <v>54</v>
      </c>
      <c r="B38" s="225"/>
      <c r="C38" s="228" t="s">
        <v>84</v>
      </c>
      <c r="D38" s="225" t="s">
        <v>27</v>
      </c>
      <c r="E38" s="225"/>
      <c r="F38" s="229" t="s">
        <v>1511</v>
      </c>
      <c r="G38" s="229" t="s">
        <v>1511</v>
      </c>
      <c r="H38" s="229" t="s">
        <v>1511</v>
      </c>
      <c r="I38" s="229" t="s">
        <v>1511</v>
      </c>
      <c r="J38" s="225"/>
      <c r="K38" s="230">
        <v>425250</v>
      </c>
      <c r="L38" s="230">
        <v>425250</v>
      </c>
      <c r="M38" s="228"/>
      <c r="N38" s="228"/>
      <c r="O38" s="228" t="s">
        <v>1487</v>
      </c>
    </row>
    <row r="39" spans="1:15" ht="42.75" hidden="1" x14ac:dyDescent="0.2">
      <c r="A39" s="227">
        <v>55</v>
      </c>
      <c r="B39" s="225"/>
      <c r="C39" s="228" t="s">
        <v>81</v>
      </c>
      <c r="D39" s="225" t="s">
        <v>27</v>
      </c>
      <c r="E39" s="225"/>
      <c r="F39" s="229" t="s">
        <v>1512</v>
      </c>
      <c r="G39" s="229" t="s">
        <v>1512</v>
      </c>
      <c r="H39" s="229" t="s">
        <v>1512</v>
      </c>
      <c r="I39" s="229" t="s">
        <v>1512</v>
      </c>
      <c r="J39" s="225"/>
      <c r="K39" s="230">
        <v>290348</v>
      </c>
      <c r="L39" s="230">
        <v>290348</v>
      </c>
      <c r="M39" s="228"/>
      <c r="N39" s="228"/>
      <c r="O39" s="228" t="s">
        <v>1487</v>
      </c>
    </row>
    <row r="40" spans="1:15" ht="42.75" hidden="1" x14ac:dyDescent="0.2">
      <c r="A40" s="227">
        <v>56</v>
      </c>
      <c r="B40" s="225"/>
      <c r="C40" s="228" t="s">
        <v>86</v>
      </c>
      <c r="D40" s="225" t="s">
        <v>27</v>
      </c>
      <c r="E40" s="225"/>
      <c r="F40" s="229" t="s">
        <v>1513</v>
      </c>
      <c r="G40" s="229" t="s">
        <v>1513</v>
      </c>
      <c r="H40" s="229" t="s">
        <v>1513</v>
      </c>
      <c r="I40" s="229" t="s">
        <v>1513</v>
      </c>
      <c r="J40" s="225"/>
      <c r="K40" s="230">
        <v>491220</v>
      </c>
      <c r="L40" s="230">
        <v>491220</v>
      </c>
      <c r="M40" s="228"/>
      <c r="N40" s="228"/>
      <c r="O40" s="228" t="s">
        <v>1487</v>
      </c>
    </row>
    <row r="41" spans="1:15" ht="42.75" hidden="1" x14ac:dyDescent="0.2">
      <c r="A41" s="227">
        <v>57</v>
      </c>
      <c r="B41" s="225"/>
      <c r="C41" s="228" t="s">
        <v>46</v>
      </c>
      <c r="D41" s="225" t="s">
        <v>27</v>
      </c>
      <c r="E41" s="225"/>
      <c r="F41" s="229" t="s">
        <v>1514</v>
      </c>
      <c r="G41" s="229" t="s">
        <v>1514</v>
      </c>
      <c r="H41" s="229" t="s">
        <v>1514</v>
      </c>
      <c r="I41" s="229" t="s">
        <v>1514</v>
      </c>
      <c r="J41" s="225"/>
      <c r="K41" s="230">
        <v>146502</v>
      </c>
      <c r="L41" s="230">
        <v>146502</v>
      </c>
      <c r="M41" s="228"/>
      <c r="N41" s="228"/>
      <c r="O41" s="228" t="s">
        <v>1487</v>
      </c>
    </row>
    <row r="42" spans="1:15" ht="42.75" hidden="1" x14ac:dyDescent="0.2">
      <c r="A42" s="227">
        <v>58</v>
      </c>
      <c r="B42" s="225"/>
      <c r="C42" s="228" t="s">
        <v>78</v>
      </c>
      <c r="D42" s="225" t="s">
        <v>27</v>
      </c>
      <c r="E42" s="225"/>
      <c r="F42" s="229" t="s">
        <v>1515</v>
      </c>
      <c r="G42" s="229" t="s">
        <v>1515</v>
      </c>
      <c r="H42" s="229" t="s">
        <v>1515</v>
      </c>
      <c r="I42" s="229" t="s">
        <v>1515</v>
      </c>
      <c r="J42" s="225"/>
      <c r="K42" s="230">
        <v>600000</v>
      </c>
      <c r="L42" s="230">
        <v>600000</v>
      </c>
      <c r="M42" s="228"/>
      <c r="N42" s="228"/>
      <c r="O42" s="228" t="s">
        <v>1487</v>
      </c>
    </row>
    <row r="43" spans="1:15" ht="42.75" hidden="1" x14ac:dyDescent="0.2">
      <c r="A43" s="227">
        <v>59</v>
      </c>
      <c r="B43" s="225"/>
      <c r="C43" s="228" t="s">
        <v>41</v>
      </c>
      <c r="D43" s="225" t="s">
        <v>27</v>
      </c>
      <c r="E43" s="225"/>
      <c r="F43" s="229" t="s">
        <v>1516</v>
      </c>
      <c r="G43" s="229" t="s">
        <v>1516</v>
      </c>
      <c r="H43" s="229" t="s">
        <v>1516</v>
      </c>
      <c r="I43" s="229" t="s">
        <v>1516</v>
      </c>
      <c r="J43" s="225"/>
      <c r="K43" s="230">
        <v>283500</v>
      </c>
      <c r="L43" s="230">
        <v>283500</v>
      </c>
      <c r="M43" s="228"/>
      <c r="N43" s="228"/>
      <c r="O43" s="228" t="s">
        <v>1487</v>
      </c>
    </row>
    <row r="44" spans="1:15" ht="42.75" hidden="1" x14ac:dyDescent="0.2">
      <c r="A44" s="227">
        <v>60</v>
      </c>
      <c r="B44" s="225"/>
      <c r="C44" s="228" t="s">
        <v>63</v>
      </c>
      <c r="D44" s="225" t="s">
        <v>27</v>
      </c>
      <c r="E44" s="225"/>
      <c r="F44" s="229" t="s">
        <v>1517</v>
      </c>
      <c r="G44" s="229" t="s">
        <v>1517</v>
      </c>
      <c r="H44" s="229" t="s">
        <v>1517</v>
      </c>
      <c r="I44" s="229" t="s">
        <v>1517</v>
      </c>
      <c r="J44" s="225"/>
      <c r="K44" s="230">
        <v>501425</v>
      </c>
      <c r="L44" s="230">
        <v>501425</v>
      </c>
      <c r="M44" s="228"/>
      <c r="N44" s="228"/>
      <c r="O44" s="228" t="s">
        <v>1487</v>
      </c>
    </row>
    <row r="45" spans="1:15" ht="42.75" hidden="1" x14ac:dyDescent="0.2">
      <c r="A45" s="227">
        <v>61</v>
      </c>
      <c r="B45" s="225"/>
      <c r="C45" s="228" t="s">
        <v>32</v>
      </c>
      <c r="D45" s="225" t="s">
        <v>27</v>
      </c>
      <c r="E45" s="225"/>
      <c r="F45" s="229" t="s">
        <v>1518</v>
      </c>
      <c r="G45" s="229" t="s">
        <v>1518</v>
      </c>
      <c r="H45" s="229" t="s">
        <v>1518</v>
      </c>
      <c r="I45" s="229" t="s">
        <v>1518</v>
      </c>
      <c r="J45" s="225"/>
      <c r="K45" s="230">
        <v>191944</v>
      </c>
      <c r="L45" s="230">
        <v>191944</v>
      </c>
      <c r="M45" s="228"/>
      <c r="N45" s="228"/>
      <c r="O45" s="228" t="s">
        <v>1487</v>
      </c>
    </row>
    <row r="46" spans="1:15" ht="42.75" hidden="1" x14ac:dyDescent="0.2">
      <c r="A46" s="227">
        <v>62</v>
      </c>
      <c r="B46" s="225"/>
      <c r="C46" s="228" t="s">
        <v>65</v>
      </c>
      <c r="D46" s="225" t="s">
        <v>27</v>
      </c>
      <c r="E46" s="225"/>
      <c r="F46" s="229" t="s">
        <v>1519</v>
      </c>
      <c r="G46" s="229" t="s">
        <v>1519</v>
      </c>
      <c r="H46" s="229" t="s">
        <v>1519</v>
      </c>
      <c r="I46" s="229" t="s">
        <v>1519</v>
      </c>
      <c r="J46" s="225"/>
      <c r="K46" s="230">
        <v>1912099.98</v>
      </c>
      <c r="L46" s="230">
        <v>1912099.98</v>
      </c>
      <c r="M46" s="228"/>
      <c r="N46" s="228"/>
      <c r="O46" s="228" t="s">
        <v>1487</v>
      </c>
    </row>
    <row r="47" spans="1:15" ht="42.75" x14ac:dyDescent="0.2">
      <c r="A47" s="227">
        <v>4</v>
      </c>
      <c r="B47" s="225" t="s">
        <v>91</v>
      </c>
      <c r="C47" s="228" t="s">
        <v>92</v>
      </c>
      <c r="D47" s="225" t="s">
        <v>26</v>
      </c>
      <c r="E47" s="225" t="s">
        <v>93</v>
      </c>
      <c r="F47" s="229" t="s">
        <v>1489</v>
      </c>
      <c r="G47" s="229" t="s">
        <v>1489</v>
      </c>
      <c r="H47" s="229" t="s">
        <v>1489</v>
      </c>
      <c r="I47" s="229" t="s">
        <v>1489</v>
      </c>
      <c r="J47" s="225" t="s">
        <v>1485</v>
      </c>
      <c r="K47" s="230">
        <v>3038341</v>
      </c>
      <c r="L47" s="230">
        <v>3038341</v>
      </c>
      <c r="M47" s="230">
        <v>0</v>
      </c>
      <c r="N47" s="230">
        <v>0</v>
      </c>
      <c r="O47" s="4" t="s">
        <v>1486</v>
      </c>
    </row>
    <row r="48" spans="1:15" hidden="1" x14ac:dyDescent="0.2">
      <c r="A48" s="227">
        <v>64</v>
      </c>
      <c r="B48" s="225"/>
      <c r="C48" s="228" t="s">
        <v>114</v>
      </c>
      <c r="D48" s="225" t="s">
        <v>27</v>
      </c>
      <c r="E48" s="225"/>
      <c r="F48" s="228"/>
      <c r="G48" s="228"/>
      <c r="H48" s="228"/>
      <c r="I48" s="228"/>
      <c r="J48" s="225"/>
      <c r="K48" s="230">
        <v>38640</v>
      </c>
      <c r="L48" s="230">
        <v>38640</v>
      </c>
      <c r="M48" s="228"/>
      <c r="N48" s="228"/>
      <c r="O48" s="228" t="s">
        <v>1487</v>
      </c>
    </row>
    <row r="49" spans="1:15" hidden="1" x14ac:dyDescent="0.2">
      <c r="A49" s="227">
        <v>65</v>
      </c>
      <c r="B49" s="225"/>
      <c r="C49" s="228" t="s">
        <v>99</v>
      </c>
      <c r="D49" s="225" t="s">
        <v>27</v>
      </c>
      <c r="E49" s="225"/>
      <c r="F49" s="228"/>
      <c r="G49" s="228"/>
      <c r="H49" s="228"/>
      <c r="I49" s="228"/>
      <c r="J49" s="225"/>
      <c r="K49" s="230">
        <v>32656</v>
      </c>
      <c r="L49" s="230">
        <v>32656</v>
      </c>
      <c r="M49" s="228"/>
      <c r="N49" s="228"/>
      <c r="O49" s="228" t="s">
        <v>1487</v>
      </c>
    </row>
    <row r="50" spans="1:15" ht="25.5" hidden="1" x14ac:dyDescent="0.2">
      <c r="A50" s="227">
        <v>66</v>
      </c>
      <c r="B50" s="225"/>
      <c r="C50" s="228" t="s">
        <v>36</v>
      </c>
      <c r="D50" s="225" t="s">
        <v>27</v>
      </c>
      <c r="E50" s="225"/>
      <c r="F50" s="228"/>
      <c r="G50" s="228"/>
      <c r="H50" s="228"/>
      <c r="I50" s="228"/>
      <c r="J50" s="225"/>
      <c r="K50" s="230">
        <v>17308</v>
      </c>
      <c r="L50" s="230">
        <v>17308</v>
      </c>
      <c r="M50" s="228"/>
      <c r="N50" s="228"/>
      <c r="O50" s="228" t="s">
        <v>1487</v>
      </c>
    </row>
    <row r="51" spans="1:15" hidden="1" x14ac:dyDescent="0.2">
      <c r="A51" s="227">
        <v>67</v>
      </c>
      <c r="B51" s="225"/>
      <c r="C51" s="228" t="s">
        <v>44</v>
      </c>
      <c r="D51" s="225" t="s">
        <v>27</v>
      </c>
      <c r="E51" s="225"/>
      <c r="F51" s="228"/>
      <c r="G51" s="228"/>
      <c r="H51" s="228"/>
      <c r="I51" s="228"/>
      <c r="J51" s="225"/>
      <c r="K51" s="230">
        <v>29440</v>
      </c>
      <c r="L51" s="230">
        <v>29440</v>
      </c>
      <c r="M51" s="228"/>
      <c r="N51" s="228"/>
      <c r="O51" s="228" t="s">
        <v>1487</v>
      </c>
    </row>
    <row r="52" spans="1:15" ht="25.5" hidden="1" x14ac:dyDescent="0.2">
      <c r="A52" s="227">
        <v>68</v>
      </c>
      <c r="B52" s="225"/>
      <c r="C52" s="228" t="s">
        <v>46</v>
      </c>
      <c r="D52" s="225" t="s">
        <v>27</v>
      </c>
      <c r="E52" s="225"/>
      <c r="F52" s="228"/>
      <c r="G52" s="228"/>
      <c r="H52" s="228"/>
      <c r="I52" s="228"/>
      <c r="J52" s="225"/>
      <c r="K52" s="230">
        <v>21400</v>
      </c>
      <c r="L52" s="230">
        <v>21400</v>
      </c>
      <c r="M52" s="228"/>
      <c r="N52" s="228"/>
      <c r="O52" s="228" t="s">
        <v>1487</v>
      </c>
    </row>
    <row r="53" spans="1:15" hidden="1" x14ac:dyDescent="0.2">
      <c r="A53" s="227">
        <v>69</v>
      </c>
      <c r="B53" s="225"/>
      <c r="C53" s="228" t="s">
        <v>35</v>
      </c>
      <c r="D53" s="225" t="s">
        <v>27</v>
      </c>
      <c r="E53" s="225"/>
      <c r="F53" s="228"/>
      <c r="G53" s="228"/>
      <c r="H53" s="228"/>
      <c r="I53" s="228"/>
      <c r="J53" s="225"/>
      <c r="K53" s="230">
        <v>1610082</v>
      </c>
      <c r="L53" s="230">
        <v>1610082</v>
      </c>
      <c r="M53" s="228"/>
      <c r="N53" s="228"/>
      <c r="O53" s="228" t="s">
        <v>1487</v>
      </c>
    </row>
    <row r="54" spans="1:15" ht="25.5" hidden="1" x14ac:dyDescent="0.2">
      <c r="A54" s="227">
        <v>70</v>
      </c>
      <c r="B54" s="225"/>
      <c r="C54" s="228" t="s">
        <v>72</v>
      </c>
      <c r="D54" s="225" t="s">
        <v>27</v>
      </c>
      <c r="E54" s="225"/>
      <c r="F54" s="228"/>
      <c r="G54" s="228"/>
      <c r="H54" s="228"/>
      <c r="I54" s="228"/>
      <c r="J54" s="225"/>
      <c r="K54" s="230">
        <v>405900</v>
      </c>
      <c r="L54" s="230">
        <v>405900</v>
      </c>
      <c r="M54" s="228"/>
      <c r="N54" s="228"/>
      <c r="O54" s="228" t="s">
        <v>1487</v>
      </c>
    </row>
    <row r="55" spans="1:15" hidden="1" x14ac:dyDescent="0.2">
      <c r="A55" s="227">
        <v>71</v>
      </c>
      <c r="B55" s="225"/>
      <c r="C55" s="228" t="s">
        <v>108</v>
      </c>
      <c r="D55" s="225" t="s">
        <v>27</v>
      </c>
      <c r="E55" s="225"/>
      <c r="F55" s="228"/>
      <c r="G55" s="228"/>
      <c r="H55" s="228"/>
      <c r="I55" s="228"/>
      <c r="J55" s="225"/>
      <c r="K55" s="230">
        <v>39150</v>
      </c>
      <c r="L55" s="230">
        <v>39150</v>
      </c>
      <c r="M55" s="228"/>
      <c r="N55" s="228"/>
      <c r="O55" s="228" t="s">
        <v>1487</v>
      </c>
    </row>
    <row r="56" spans="1:15" ht="25.5" hidden="1" x14ac:dyDescent="0.2">
      <c r="A56" s="227">
        <v>72</v>
      </c>
      <c r="B56" s="225"/>
      <c r="C56" s="228" t="s">
        <v>100</v>
      </c>
      <c r="D56" s="225" t="s">
        <v>27</v>
      </c>
      <c r="E56" s="225"/>
      <c r="F56" s="228"/>
      <c r="G56" s="228"/>
      <c r="H56" s="228"/>
      <c r="I56" s="228"/>
      <c r="J56" s="225"/>
      <c r="K56" s="230">
        <v>11380</v>
      </c>
      <c r="L56" s="230">
        <v>11380</v>
      </c>
      <c r="M56" s="228"/>
      <c r="N56" s="228"/>
      <c r="O56" s="228" t="s">
        <v>1487</v>
      </c>
    </row>
    <row r="57" spans="1:15" ht="25.5" hidden="1" x14ac:dyDescent="0.2">
      <c r="A57" s="227">
        <v>73</v>
      </c>
      <c r="B57" s="225"/>
      <c r="C57" s="228" t="s">
        <v>109</v>
      </c>
      <c r="D57" s="225" t="s">
        <v>27</v>
      </c>
      <c r="E57" s="225"/>
      <c r="F57" s="228"/>
      <c r="G57" s="228"/>
      <c r="H57" s="228"/>
      <c r="I57" s="228"/>
      <c r="J57" s="225"/>
      <c r="K57" s="230">
        <v>13600</v>
      </c>
      <c r="L57" s="230">
        <v>13600</v>
      </c>
      <c r="M57" s="228"/>
      <c r="N57" s="228"/>
      <c r="O57" s="228" t="s">
        <v>1487</v>
      </c>
    </row>
    <row r="58" spans="1:15" hidden="1" x14ac:dyDescent="0.2">
      <c r="A58" s="227">
        <v>74</v>
      </c>
      <c r="B58" s="225"/>
      <c r="C58" s="228" t="s">
        <v>94</v>
      </c>
      <c r="D58" s="225" t="s">
        <v>27</v>
      </c>
      <c r="E58" s="225"/>
      <c r="F58" s="228"/>
      <c r="G58" s="228"/>
      <c r="H58" s="228"/>
      <c r="I58" s="228"/>
      <c r="J58" s="225"/>
      <c r="K58" s="230">
        <v>96320</v>
      </c>
      <c r="L58" s="230">
        <v>96320</v>
      </c>
      <c r="M58" s="228"/>
      <c r="N58" s="228"/>
      <c r="O58" s="228" t="s">
        <v>1487</v>
      </c>
    </row>
    <row r="59" spans="1:15" ht="38.25" hidden="1" x14ac:dyDescent="0.2">
      <c r="A59" s="227">
        <v>75</v>
      </c>
      <c r="B59" s="225"/>
      <c r="C59" s="228" t="s">
        <v>106</v>
      </c>
      <c r="D59" s="225" t="s">
        <v>27</v>
      </c>
      <c r="E59" s="225"/>
      <c r="F59" s="228"/>
      <c r="G59" s="228"/>
      <c r="H59" s="228"/>
      <c r="I59" s="228"/>
      <c r="J59" s="225"/>
      <c r="K59" s="230">
        <v>12000</v>
      </c>
      <c r="L59" s="230">
        <v>12000</v>
      </c>
      <c r="M59" s="228"/>
      <c r="N59" s="228"/>
      <c r="O59" s="228" t="s">
        <v>1487</v>
      </c>
    </row>
    <row r="60" spans="1:15" ht="25.5" hidden="1" x14ac:dyDescent="0.2">
      <c r="A60" s="227">
        <v>76</v>
      </c>
      <c r="B60" s="225"/>
      <c r="C60" s="228" t="s">
        <v>101</v>
      </c>
      <c r="D60" s="225" t="s">
        <v>27</v>
      </c>
      <c r="E60" s="225"/>
      <c r="F60" s="228"/>
      <c r="G60" s="228"/>
      <c r="H60" s="228"/>
      <c r="I60" s="228"/>
      <c r="J60" s="225"/>
      <c r="K60" s="230">
        <v>97450</v>
      </c>
      <c r="L60" s="230">
        <v>97450</v>
      </c>
      <c r="M60" s="228"/>
      <c r="N60" s="228"/>
      <c r="O60" s="228" t="s">
        <v>1487</v>
      </c>
    </row>
    <row r="61" spans="1:15" ht="25.5" hidden="1" x14ac:dyDescent="0.2">
      <c r="A61" s="227">
        <v>77</v>
      </c>
      <c r="B61" s="225"/>
      <c r="C61" s="228" t="s">
        <v>105</v>
      </c>
      <c r="D61" s="225" t="s">
        <v>27</v>
      </c>
      <c r="E61" s="225"/>
      <c r="F61" s="228"/>
      <c r="G61" s="228"/>
      <c r="H61" s="228"/>
      <c r="I61" s="228"/>
      <c r="J61" s="225"/>
      <c r="K61" s="230">
        <v>210500</v>
      </c>
      <c r="L61" s="230">
        <v>210500</v>
      </c>
      <c r="M61" s="228"/>
      <c r="N61" s="228"/>
      <c r="O61" s="228" t="s">
        <v>1487</v>
      </c>
    </row>
    <row r="62" spans="1:15" ht="38.25" hidden="1" x14ac:dyDescent="0.2">
      <c r="A62" s="227">
        <v>78</v>
      </c>
      <c r="B62" s="225"/>
      <c r="C62" s="228" t="s">
        <v>42</v>
      </c>
      <c r="D62" s="225" t="s">
        <v>27</v>
      </c>
      <c r="E62" s="225"/>
      <c r="F62" s="228"/>
      <c r="G62" s="228"/>
      <c r="H62" s="228"/>
      <c r="I62" s="228"/>
      <c r="J62" s="225"/>
      <c r="K62" s="230">
        <v>29760</v>
      </c>
      <c r="L62" s="230">
        <v>29760</v>
      </c>
      <c r="M62" s="228"/>
      <c r="N62" s="228"/>
      <c r="O62" s="228" t="s">
        <v>1487</v>
      </c>
    </row>
    <row r="63" spans="1:15" ht="25.5" hidden="1" x14ac:dyDescent="0.2">
      <c r="A63" s="227">
        <v>79</v>
      </c>
      <c r="B63" s="225"/>
      <c r="C63" s="228" t="s">
        <v>38</v>
      </c>
      <c r="D63" s="225" t="s">
        <v>27</v>
      </c>
      <c r="E63" s="225"/>
      <c r="F63" s="228"/>
      <c r="G63" s="228"/>
      <c r="H63" s="228"/>
      <c r="I63" s="228"/>
      <c r="J63" s="225"/>
      <c r="K63" s="230">
        <v>14600</v>
      </c>
      <c r="L63" s="230">
        <v>14600</v>
      </c>
      <c r="M63" s="228"/>
      <c r="N63" s="228"/>
      <c r="O63" s="228" t="s">
        <v>1487</v>
      </c>
    </row>
    <row r="64" spans="1:15" ht="25.5" hidden="1" x14ac:dyDescent="0.2">
      <c r="A64" s="227">
        <v>80</v>
      </c>
      <c r="B64" s="225"/>
      <c r="C64" s="228" t="s">
        <v>97</v>
      </c>
      <c r="D64" s="225" t="s">
        <v>27</v>
      </c>
      <c r="E64" s="225"/>
      <c r="F64" s="228"/>
      <c r="G64" s="228"/>
      <c r="H64" s="228"/>
      <c r="I64" s="228"/>
      <c r="J64" s="225"/>
      <c r="K64" s="230">
        <v>37440</v>
      </c>
      <c r="L64" s="230">
        <v>37440</v>
      </c>
      <c r="M64" s="228"/>
      <c r="N64" s="228"/>
      <c r="O64" s="228" t="s">
        <v>1487</v>
      </c>
    </row>
    <row r="65" spans="1:15" hidden="1" x14ac:dyDescent="0.2">
      <c r="A65" s="227">
        <v>81</v>
      </c>
      <c r="B65" s="225"/>
      <c r="C65" s="228" t="s">
        <v>107</v>
      </c>
      <c r="D65" s="225" t="s">
        <v>27</v>
      </c>
      <c r="E65" s="225"/>
      <c r="F65" s="228"/>
      <c r="G65" s="228"/>
      <c r="H65" s="228"/>
      <c r="I65" s="228"/>
      <c r="J65" s="225"/>
      <c r="K65" s="230">
        <v>8800</v>
      </c>
      <c r="L65" s="230">
        <v>8800</v>
      </c>
      <c r="M65" s="228"/>
      <c r="N65" s="228"/>
      <c r="O65" s="228" t="s">
        <v>1487</v>
      </c>
    </row>
    <row r="66" spans="1:15" hidden="1" x14ac:dyDescent="0.2">
      <c r="A66" s="227">
        <v>82</v>
      </c>
      <c r="B66" s="225"/>
      <c r="C66" s="228" t="s">
        <v>95</v>
      </c>
      <c r="D66" s="225" t="s">
        <v>27</v>
      </c>
      <c r="E66" s="225"/>
      <c r="F66" s="228"/>
      <c r="G66" s="228"/>
      <c r="H66" s="228"/>
      <c r="I66" s="228"/>
      <c r="J66" s="225"/>
      <c r="K66" s="230">
        <v>89700</v>
      </c>
      <c r="L66" s="230">
        <v>89700</v>
      </c>
      <c r="M66" s="228"/>
      <c r="N66" s="228"/>
      <c r="O66" s="228" t="s">
        <v>1487</v>
      </c>
    </row>
    <row r="67" spans="1:15" ht="25.5" hidden="1" x14ac:dyDescent="0.2">
      <c r="A67" s="227">
        <v>83</v>
      </c>
      <c r="B67" s="225"/>
      <c r="C67" s="228" t="s">
        <v>103</v>
      </c>
      <c r="D67" s="225" t="s">
        <v>27</v>
      </c>
      <c r="E67" s="225"/>
      <c r="F67" s="228"/>
      <c r="G67" s="228"/>
      <c r="H67" s="228"/>
      <c r="I67" s="228"/>
      <c r="J67" s="225"/>
      <c r="K67" s="230">
        <v>6240</v>
      </c>
      <c r="L67" s="230">
        <v>6240</v>
      </c>
      <c r="M67" s="228"/>
      <c r="N67" s="228"/>
      <c r="O67" s="228" t="s">
        <v>1487</v>
      </c>
    </row>
    <row r="68" spans="1:15" ht="25.5" hidden="1" x14ac:dyDescent="0.2">
      <c r="A68" s="227">
        <v>84</v>
      </c>
      <c r="B68" s="225"/>
      <c r="C68" s="228" t="s">
        <v>102</v>
      </c>
      <c r="D68" s="225" t="s">
        <v>27</v>
      </c>
      <c r="E68" s="225"/>
      <c r="F68" s="228"/>
      <c r="G68" s="228"/>
      <c r="H68" s="228"/>
      <c r="I68" s="228"/>
      <c r="J68" s="225"/>
      <c r="K68" s="230">
        <v>28080</v>
      </c>
      <c r="L68" s="230">
        <v>28080</v>
      </c>
      <c r="M68" s="228"/>
      <c r="N68" s="228"/>
      <c r="O68" s="228" t="s">
        <v>1487</v>
      </c>
    </row>
    <row r="69" spans="1:15" hidden="1" x14ac:dyDescent="0.2">
      <c r="A69" s="227">
        <v>85</v>
      </c>
      <c r="B69" s="225"/>
      <c r="C69" s="228" t="s">
        <v>98</v>
      </c>
      <c r="D69" s="225" t="s">
        <v>27</v>
      </c>
      <c r="E69" s="225"/>
      <c r="F69" s="228"/>
      <c r="G69" s="228"/>
      <c r="H69" s="228"/>
      <c r="I69" s="228"/>
      <c r="J69" s="225"/>
      <c r="K69" s="230">
        <v>45360</v>
      </c>
      <c r="L69" s="230">
        <v>45360</v>
      </c>
      <c r="M69" s="228"/>
      <c r="N69" s="228"/>
      <c r="O69" s="228" t="s">
        <v>1487</v>
      </c>
    </row>
    <row r="70" spans="1:15" hidden="1" x14ac:dyDescent="0.2">
      <c r="A70" s="227">
        <v>86</v>
      </c>
      <c r="B70" s="225"/>
      <c r="C70" s="228" t="s">
        <v>96</v>
      </c>
      <c r="D70" s="225" t="s">
        <v>27</v>
      </c>
      <c r="E70" s="225"/>
      <c r="F70" s="228"/>
      <c r="G70" s="228"/>
      <c r="H70" s="228"/>
      <c r="I70" s="228"/>
      <c r="J70" s="225"/>
      <c r="K70" s="230">
        <v>47715</v>
      </c>
      <c r="L70" s="230">
        <v>47715</v>
      </c>
      <c r="M70" s="228"/>
      <c r="N70" s="228"/>
      <c r="O70" s="228" t="s">
        <v>1487</v>
      </c>
    </row>
    <row r="71" spans="1:15" hidden="1" x14ac:dyDescent="0.2">
      <c r="A71" s="227">
        <v>87</v>
      </c>
      <c r="B71" s="225"/>
      <c r="C71" s="228" t="s">
        <v>43</v>
      </c>
      <c r="D71" s="225" t="s">
        <v>27</v>
      </c>
      <c r="E71" s="225"/>
      <c r="F71" s="228"/>
      <c r="G71" s="228"/>
      <c r="H71" s="228"/>
      <c r="I71" s="228"/>
      <c r="J71" s="225"/>
      <c r="K71" s="230">
        <v>60500</v>
      </c>
      <c r="L71" s="230">
        <v>60500</v>
      </c>
      <c r="M71" s="228"/>
      <c r="N71" s="228"/>
      <c r="O71" s="228" t="s">
        <v>1487</v>
      </c>
    </row>
    <row r="72" spans="1:15" hidden="1" x14ac:dyDescent="0.2">
      <c r="A72" s="227">
        <v>88</v>
      </c>
      <c r="B72" s="225"/>
      <c r="C72" s="228" t="s">
        <v>110</v>
      </c>
      <c r="D72" s="225" t="s">
        <v>27</v>
      </c>
      <c r="E72" s="225"/>
      <c r="F72" s="228"/>
      <c r="G72" s="228"/>
      <c r="H72" s="228"/>
      <c r="I72" s="228"/>
      <c r="J72" s="225"/>
      <c r="K72" s="230">
        <v>34320</v>
      </c>
      <c r="L72" s="230">
        <v>34320</v>
      </c>
      <c r="M72" s="228"/>
      <c r="N72" s="228"/>
      <c r="O72" s="228" t="s">
        <v>1487</v>
      </c>
    </row>
    <row r="73" spans="1:15" ht="42.75" x14ac:dyDescent="0.2">
      <c r="A73" s="227">
        <v>5</v>
      </c>
      <c r="B73" s="225" t="s">
        <v>111</v>
      </c>
      <c r="C73" s="228" t="s">
        <v>112</v>
      </c>
      <c r="D73" s="225" t="s">
        <v>26</v>
      </c>
      <c r="E73" s="225" t="s">
        <v>93</v>
      </c>
      <c r="F73" s="229" t="s">
        <v>1489</v>
      </c>
      <c r="G73" s="229" t="s">
        <v>1489</v>
      </c>
      <c r="H73" s="229" t="s">
        <v>1489</v>
      </c>
      <c r="I73" s="229" t="s">
        <v>1489</v>
      </c>
      <c r="J73" s="225" t="s">
        <v>1485</v>
      </c>
      <c r="K73" s="230">
        <v>13386384.890000001</v>
      </c>
      <c r="L73" s="230">
        <v>13386384.890000001</v>
      </c>
      <c r="M73" s="230">
        <v>0</v>
      </c>
      <c r="N73" s="230">
        <v>0</v>
      </c>
      <c r="O73" s="4" t="s">
        <v>1486</v>
      </c>
    </row>
    <row r="74" spans="1:15" ht="25.5" hidden="1" x14ac:dyDescent="0.2">
      <c r="A74" s="227">
        <v>90</v>
      </c>
      <c r="B74" s="225"/>
      <c r="C74" s="228" t="s">
        <v>103</v>
      </c>
      <c r="D74" s="225" t="s">
        <v>27</v>
      </c>
      <c r="E74" s="225"/>
      <c r="F74" s="228"/>
      <c r="G74" s="228"/>
      <c r="H74" s="228"/>
      <c r="I74" s="228"/>
      <c r="J74" s="225"/>
      <c r="K74" s="230">
        <v>52330</v>
      </c>
      <c r="L74" s="230">
        <v>52330</v>
      </c>
      <c r="M74" s="228"/>
      <c r="N74" s="228"/>
      <c r="O74" s="228" t="s">
        <v>1487</v>
      </c>
    </row>
    <row r="75" spans="1:15" ht="25.5" hidden="1" x14ac:dyDescent="0.2">
      <c r="A75" s="227">
        <v>91</v>
      </c>
      <c r="B75" s="225"/>
      <c r="C75" s="228" t="s">
        <v>115</v>
      </c>
      <c r="D75" s="225" t="s">
        <v>27</v>
      </c>
      <c r="E75" s="225"/>
      <c r="F75" s="228"/>
      <c r="G75" s="228"/>
      <c r="H75" s="228"/>
      <c r="I75" s="228"/>
      <c r="J75" s="225"/>
      <c r="K75" s="230">
        <v>18810</v>
      </c>
      <c r="L75" s="230">
        <v>18810</v>
      </c>
      <c r="M75" s="228"/>
      <c r="N75" s="228"/>
      <c r="O75" s="228" t="s">
        <v>1487</v>
      </c>
    </row>
    <row r="76" spans="1:15" hidden="1" x14ac:dyDescent="0.2">
      <c r="A76" s="227">
        <v>92</v>
      </c>
      <c r="B76" s="225"/>
      <c r="C76" s="228" t="s">
        <v>47</v>
      </c>
      <c r="D76" s="225" t="s">
        <v>27</v>
      </c>
      <c r="E76" s="225"/>
      <c r="F76" s="228"/>
      <c r="G76" s="228"/>
      <c r="H76" s="228"/>
      <c r="I76" s="228"/>
      <c r="J76" s="225"/>
      <c r="K76" s="230">
        <v>76680</v>
      </c>
      <c r="L76" s="230">
        <v>76680</v>
      </c>
      <c r="M76" s="228"/>
      <c r="N76" s="228"/>
      <c r="O76" s="228" t="s">
        <v>1487</v>
      </c>
    </row>
    <row r="77" spans="1:15" ht="25.5" hidden="1" x14ac:dyDescent="0.2">
      <c r="A77" s="227">
        <v>93</v>
      </c>
      <c r="B77" s="225"/>
      <c r="C77" s="228" t="s">
        <v>101</v>
      </c>
      <c r="D77" s="225" t="s">
        <v>27</v>
      </c>
      <c r="E77" s="225"/>
      <c r="F77" s="228"/>
      <c r="G77" s="228"/>
      <c r="H77" s="228"/>
      <c r="I77" s="228"/>
      <c r="J77" s="225"/>
      <c r="K77" s="230">
        <v>27796</v>
      </c>
      <c r="L77" s="230">
        <v>27796</v>
      </c>
      <c r="M77" s="228"/>
      <c r="N77" s="228"/>
      <c r="O77" s="228" t="s">
        <v>1487</v>
      </c>
    </row>
    <row r="78" spans="1:15" ht="25.5" hidden="1" x14ac:dyDescent="0.2">
      <c r="A78" s="227">
        <v>94</v>
      </c>
      <c r="B78" s="225"/>
      <c r="C78" s="228" t="s">
        <v>33</v>
      </c>
      <c r="D78" s="225" t="s">
        <v>27</v>
      </c>
      <c r="E78" s="225"/>
      <c r="F78" s="228"/>
      <c r="G78" s="228"/>
      <c r="H78" s="228"/>
      <c r="I78" s="228"/>
      <c r="J78" s="225"/>
      <c r="K78" s="230">
        <v>111868.5</v>
      </c>
      <c r="L78" s="230">
        <v>111868.5</v>
      </c>
      <c r="M78" s="228"/>
      <c r="N78" s="228"/>
      <c r="O78" s="228" t="s">
        <v>1487</v>
      </c>
    </row>
    <row r="79" spans="1:15" ht="25.5" hidden="1" x14ac:dyDescent="0.2">
      <c r="A79" s="227">
        <v>95</v>
      </c>
      <c r="B79" s="225"/>
      <c r="C79" s="228" t="s">
        <v>109</v>
      </c>
      <c r="D79" s="225" t="s">
        <v>27</v>
      </c>
      <c r="E79" s="225"/>
      <c r="F79" s="228"/>
      <c r="G79" s="228"/>
      <c r="H79" s="228"/>
      <c r="I79" s="228"/>
      <c r="J79" s="225"/>
      <c r="K79" s="230">
        <v>25706</v>
      </c>
      <c r="L79" s="230">
        <v>25706</v>
      </c>
      <c r="M79" s="228"/>
      <c r="N79" s="228"/>
      <c r="O79" s="228" t="s">
        <v>1487</v>
      </c>
    </row>
    <row r="80" spans="1:15" ht="25.5" hidden="1" x14ac:dyDescent="0.2">
      <c r="A80" s="227">
        <v>96</v>
      </c>
      <c r="B80" s="225"/>
      <c r="C80" s="228" t="s">
        <v>36</v>
      </c>
      <c r="D80" s="225" t="s">
        <v>27</v>
      </c>
      <c r="E80" s="225"/>
      <c r="F80" s="228"/>
      <c r="G80" s="228"/>
      <c r="H80" s="228"/>
      <c r="I80" s="228"/>
      <c r="J80" s="225"/>
      <c r="K80" s="230">
        <v>245207</v>
      </c>
      <c r="L80" s="230">
        <v>245207</v>
      </c>
      <c r="M80" s="228"/>
      <c r="N80" s="228"/>
      <c r="O80" s="228" t="s">
        <v>1487</v>
      </c>
    </row>
    <row r="81" spans="1:15" hidden="1" x14ac:dyDescent="0.2">
      <c r="A81" s="227">
        <v>97</v>
      </c>
      <c r="B81" s="225"/>
      <c r="C81" s="228" t="s">
        <v>35</v>
      </c>
      <c r="D81" s="225" t="s">
        <v>27</v>
      </c>
      <c r="E81" s="225"/>
      <c r="F81" s="228"/>
      <c r="G81" s="228"/>
      <c r="H81" s="228"/>
      <c r="I81" s="228"/>
      <c r="J81" s="225"/>
      <c r="K81" s="230">
        <v>7144659</v>
      </c>
      <c r="L81" s="230">
        <v>7144659</v>
      </c>
      <c r="M81" s="228"/>
      <c r="N81" s="228"/>
      <c r="O81" s="228" t="s">
        <v>1487</v>
      </c>
    </row>
    <row r="82" spans="1:15" ht="25.5" hidden="1" x14ac:dyDescent="0.2">
      <c r="A82" s="227">
        <v>98</v>
      </c>
      <c r="B82" s="225"/>
      <c r="C82" s="228" t="s">
        <v>46</v>
      </c>
      <c r="D82" s="225" t="s">
        <v>27</v>
      </c>
      <c r="E82" s="225"/>
      <c r="F82" s="228"/>
      <c r="G82" s="228"/>
      <c r="H82" s="228"/>
      <c r="I82" s="228"/>
      <c r="J82" s="225"/>
      <c r="K82" s="230">
        <v>92866</v>
      </c>
      <c r="L82" s="230">
        <v>92866</v>
      </c>
      <c r="M82" s="228"/>
      <c r="N82" s="228"/>
      <c r="O82" s="228" t="s">
        <v>1487</v>
      </c>
    </row>
    <row r="83" spans="1:15" hidden="1" x14ac:dyDescent="0.2">
      <c r="A83" s="227">
        <v>99</v>
      </c>
      <c r="B83" s="225"/>
      <c r="C83" s="228" t="s">
        <v>95</v>
      </c>
      <c r="D83" s="225" t="s">
        <v>27</v>
      </c>
      <c r="E83" s="225"/>
      <c r="F83" s="228"/>
      <c r="G83" s="228"/>
      <c r="H83" s="228"/>
      <c r="I83" s="228"/>
      <c r="J83" s="225"/>
      <c r="K83" s="230">
        <v>171100</v>
      </c>
      <c r="L83" s="230">
        <v>171100</v>
      </c>
      <c r="M83" s="228"/>
      <c r="N83" s="228"/>
      <c r="O83" s="228" t="s">
        <v>1487</v>
      </c>
    </row>
    <row r="84" spans="1:15" hidden="1" x14ac:dyDescent="0.2">
      <c r="A84" s="227">
        <v>100</v>
      </c>
      <c r="B84" s="225"/>
      <c r="C84" s="228" t="s">
        <v>99</v>
      </c>
      <c r="D84" s="225" t="s">
        <v>27</v>
      </c>
      <c r="E84" s="225"/>
      <c r="F84" s="228"/>
      <c r="G84" s="228"/>
      <c r="H84" s="228"/>
      <c r="I84" s="228"/>
      <c r="J84" s="225"/>
      <c r="K84" s="230">
        <v>141594</v>
      </c>
      <c r="L84" s="230">
        <v>141594</v>
      </c>
      <c r="M84" s="228"/>
      <c r="N84" s="228"/>
      <c r="O84" s="228" t="s">
        <v>1487</v>
      </c>
    </row>
    <row r="85" spans="1:15" ht="25.5" hidden="1" x14ac:dyDescent="0.2">
      <c r="A85" s="227">
        <v>101</v>
      </c>
      <c r="B85" s="225"/>
      <c r="C85" s="228" t="s">
        <v>34</v>
      </c>
      <c r="D85" s="225" t="s">
        <v>27</v>
      </c>
      <c r="E85" s="225"/>
      <c r="F85" s="228"/>
      <c r="G85" s="228"/>
      <c r="H85" s="228"/>
      <c r="I85" s="228"/>
      <c r="J85" s="225"/>
      <c r="K85" s="230">
        <v>6500</v>
      </c>
      <c r="L85" s="230">
        <v>6500</v>
      </c>
      <c r="M85" s="228"/>
      <c r="N85" s="228"/>
      <c r="O85" s="228" t="s">
        <v>1487</v>
      </c>
    </row>
    <row r="86" spans="1:15" hidden="1" x14ac:dyDescent="0.2">
      <c r="A86" s="227">
        <v>102</v>
      </c>
      <c r="B86" s="225"/>
      <c r="C86" s="228" t="s">
        <v>44</v>
      </c>
      <c r="D86" s="225" t="s">
        <v>27</v>
      </c>
      <c r="E86" s="225"/>
      <c r="F86" s="228"/>
      <c r="G86" s="228"/>
      <c r="H86" s="228"/>
      <c r="I86" s="228"/>
      <c r="J86" s="225"/>
      <c r="K86" s="230">
        <v>1555680</v>
      </c>
      <c r="L86" s="230">
        <v>1555680</v>
      </c>
      <c r="M86" s="228"/>
      <c r="N86" s="228"/>
      <c r="O86" s="228" t="s">
        <v>1487</v>
      </c>
    </row>
    <row r="87" spans="1:15" hidden="1" x14ac:dyDescent="0.2">
      <c r="A87" s="227">
        <v>103</v>
      </c>
      <c r="B87" s="225"/>
      <c r="C87" s="228" t="s">
        <v>116</v>
      </c>
      <c r="D87" s="225" t="s">
        <v>27</v>
      </c>
      <c r="E87" s="225"/>
      <c r="F87" s="228"/>
      <c r="G87" s="228"/>
      <c r="H87" s="228"/>
      <c r="I87" s="228"/>
      <c r="J87" s="225"/>
      <c r="K87" s="230">
        <v>60000</v>
      </c>
      <c r="L87" s="230">
        <v>60000</v>
      </c>
      <c r="M87" s="228"/>
      <c r="N87" s="228"/>
      <c r="O87" s="228" t="s">
        <v>1487</v>
      </c>
    </row>
    <row r="88" spans="1:15" ht="38.25" hidden="1" x14ac:dyDescent="0.2">
      <c r="A88" s="227">
        <v>104</v>
      </c>
      <c r="B88" s="225"/>
      <c r="C88" s="228" t="s">
        <v>106</v>
      </c>
      <c r="D88" s="225" t="s">
        <v>27</v>
      </c>
      <c r="E88" s="225"/>
      <c r="F88" s="228"/>
      <c r="G88" s="228"/>
      <c r="H88" s="228"/>
      <c r="I88" s="228"/>
      <c r="J88" s="225"/>
      <c r="K88" s="230">
        <v>406525</v>
      </c>
      <c r="L88" s="230">
        <v>406525</v>
      </c>
      <c r="M88" s="228"/>
      <c r="N88" s="228"/>
      <c r="O88" s="228" t="s">
        <v>1487</v>
      </c>
    </row>
    <row r="89" spans="1:15" hidden="1" x14ac:dyDescent="0.2">
      <c r="A89" s="227">
        <v>105</v>
      </c>
      <c r="B89" s="225"/>
      <c r="C89" s="228" t="s">
        <v>96</v>
      </c>
      <c r="D89" s="225" t="s">
        <v>27</v>
      </c>
      <c r="E89" s="225"/>
      <c r="F89" s="228"/>
      <c r="G89" s="228"/>
      <c r="H89" s="228"/>
      <c r="I89" s="228"/>
      <c r="J89" s="225"/>
      <c r="K89" s="230">
        <v>35550</v>
      </c>
      <c r="L89" s="230">
        <v>35550</v>
      </c>
      <c r="M89" s="228"/>
      <c r="N89" s="228"/>
      <c r="O89" s="228" t="s">
        <v>1487</v>
      </c>
    </row>
    <row r="90" spans="1:15" hidden="1" x14ac:dyDescent="0.2">
      <c r="A90" s="227">
        <v>106</v>
      </c>
      <c r="B90" s="225"/>
      <c r="C90" s="228" t="s">
        <v>108</v>
      </c>
      <c r="D90" s="225" t="s">
        <v>27</v>
      </c>
      <c r="E90" s="225"/>
      <c r="F90" s="228"/>
      <c r="G90" s="228"/>
      <c r="H90" s="228"/>
      <c r="I90" s="228"/>
      <c r="J90" s="225"/>
      <c r="K90" s="230">
        <v>184800</v>
      </c>
      <c r="L90" s="230">
        <v>184800</v>
      </c>
      <c r="M90" s="228"/>
      <c r="N90" s="228"/>
      <c r="O90" s="228" t="s">
        <v>1487</v>
      </c>
    </row>
    <row r="91" spans="1:15" ht="25.5" hidden="1" x14ac:dyDescent="0.2">
      <c r="A91" s="227">
        <v>107</v>
      </c>
      <c r="B91" s="225"/>
      <c r="C91" s="228" t="s">
        <v>72</v>
      </c>
      <c r="D91" s="225" t="s">
        <v>27</v>
      </c>
      <c r="E91" s="225"/>
      <c r="F91" s="228"/>
      <c r="G91" s="228"/>
      <c r="H91" s="228"/>
      <c r="I91" s="228"/>
      <c r="J91" s="225"/>
      <c r="K91" s="230">
        <v>1520277.39</v>
      </c>
      <c r="L91" s="230">
        <v>1520277.39</v>
      </c>
      <c r="M91" s="228"/>
      <c r="N91" s="228"/>
      <c r="O91" s="228" t="s">
        <v>1487</v>
      </c>
    </row>
    <row r="92" spans="1:15" hidden="1" x14ac:dyDescent="0.2">
      <c r="A92" s="227">
        <v>108</v>
      </c>
      <c r="B92" s="225"/>
      <c r="C92" s="228" t="s">
        <v>89</v>
      </c>
      <c r="D92" s="225" t="s">
        <v>27</v>
      </c>
      <c r="E92" s="225"/>
      <c r="F92" s="228"/>
      <c r="G92" s="228"/>
      <c r="H92" s="228"/>
      <c r="I92" s="228"/>
      <c r="J92" s="225"/>
      <c r="K92" s="230">
        <v>33400</v>
      </c>
      <c r="L92" s="230">
        <v>33400</v>
      </c>
      <c r="M92" s="228"/>
      <c r="N92" s="228"/>
      <c r="O92" s="228" t="s">
        <v>1487</v>
      </c>
    </row>
    <row r="93" spans="1:15" ht="38.25" hidden="1" x14ac:dyDescent="0.2">
      <c r="A93" s="227">
        <v>109</v>
      </c>
      <c r="B93" s="225"/>
      <c r="C93" s="228" t="s">
        <v>42</v>
      </c>
      <c r="D93" s="225" t="s">
        <v>27</v>
      </c>
      <c r="E93" s="225"/>
      <c r="F93" s="228"/>
      <c r="G93" s="228"/>
      <c r="H93" s="228"/>
      <c r="I93" s="228"/>
      <c r="J93" s="225"/>
      <c r="K93" s="230">
        <v>548300</v>
      </c>
      <c r="L93" s="230">
        <v>548300</v>
      </c>
      <c r="M93" s="228"/>
      <c r="N93" s="228"/>
      <c r="O93" s="228" t="s">
        <v>1487</v>
      </c>
    </row>
    <row r="94" spans="1:15" ht="25.5" hidden="1" x14ac:dyDescent="0.2">
      <c r="A94" s="227">
        <v>110</v>
      </c>
      <c r="B94" s="225"/>
      <c r="C94" s="228" t="s">
        <v>102</v>
      </c>
      <c r="D94" s="225" t="s">
        <v>27</v>
      </c>
      <c r="E94" s="225"/>
      <c r="F94" s="228"/>
      <c r="G94" s="228"/>
      <c r="H94" s="228"/>
      <c r="I94" s="228"/>
      <c r="J94" s="225"/>
      <c r="K94" s="230">
        <v>66920</v>
      </c>
      <c r="L94" s="230">
        <v>66920</v>
      </c>
      <c r="M94" s="228"/>
      <c r="N94" s="228"/>
      <c r="O94" s="228" t="s">
        <v>1487</v>
      </c>
    </row>
    <row r="95" spans="1:15" ht="38.25" hidden="1" x14ac:dyDescent="0.2">
      <c r="A95" s="227">
        <v>111</v>
      </c>
      <c r="B95" s="225"/>
      <c r="C95" s="228" t="s">
        <v>113</v>
      </c>
      <c r="D95" s="225" t="s">
        <v>27</v>
      </c>
      <c r="E95" s="225"/>
      <c r="F95" s="228"/>
      <c r="G95" s="228"/>
      <c r="H95" s="228"/>
      <c r="I95" s="228"/>
      <c r="J95" s="225"/>
      <c r="K95" s="230">
        <v>166400</v>
      </c>
      <c r="L95" s="230">
        <v>166400</v>
      </c>
      <c r="M95" s="228"/>
      <c r="N95" s="228"/>
      <c r="O95" s="228" t="s">
        <v>1487</v>
      </c>
    </row>
    <row r="96" spans="1:15" ht="25.5" hidden="1" x14ac:dyDescent="0.2">
      <c r="A96" s="227">
        <v>112</v>
      </c>
      <c r="B96" s="225"/>
      <c r="C96" s="228" t="s">
        <v>82</v>
      </c>
      <c r="D96" s="225" t="s">
        <v>27</v>
      </c>
      <c r="E96" s="225"/>
      <c r="F96" s="228"/>
      <c r="G96" s="228"/>
      <c r="H96" s="228"/>
      <c r="I96" s="228"/>
      <c r="J96" s="225"/>
      <c r="K96" s="230">
        <v>33485</v>
      </c>
      <c r="L96" s="230">
        <v>33485</v>
      </c>
      <c r="M96" s="228"/>
      <c r="N96" s="228"/>
      <c r="O96" s="228" t="s">
        <v>1487</v>
      </c>
    </row>
    <row r="97" spans="1:15" hidden="1" x14ac:dyDescent="0.2">
      <c r="A97" s="227">
        <v>113</v>
      </c>
      <c r="B97" s="225"/>
      <c r="C97" s="228" t="s">
        <v>98</v>
      </c>
      <c r="D97" s="225" t="s">
        <v>27</v>
      </c>
      <c r="E97" s="225"/>
      <c r="F97" s="228"/>
      <c r="G97" s="228"/>
      <c r="H97" s="228"/>
      <c r="I97" s="228"/>
      <c r="J97" s="225"/>
      <c r="K97" s="230">
        <v>171500</v>
      </c>
      <c r="L97" s="230">
        <v>171500</v>
      </c>
      <c r="M97" s="228"/>
      <c r="N97" s="228"/>
      <c r="O97" s="228" t="s">
        <v>1487</v>
      </c>
    </row>
    <row r="98" spans="1:15" ht="25.5" hidden="1" x14ac:dyDescent="0.2">
      <c r="A98" s="227">
        <v>114</v>
      </c>
      <c r="B98" s="225"/>
      <c r="C98" s="228" t="s">
        <v>38</v>
      </c>
      <c r="D98" s="225" t="s">
        <v>27</v>
      </c>
      <c r="E98" s="225"/>
      <c r="F98" s="228"/>
      <c r="G98" s="228"/>
      <c r="H98" s="228"/>
      <c r="I98" s="228"/>
      <c r="J98" s="225"/>
      <c r="K98" s="230">
        <v>55644</v>
      </c>
      <c r="L98" s="230">
        <v>55644</v>
      </c>
      <c r="M98" s="228"/>
      <c r="N98" s="228"/>
      <c r="O98" s="228" t="s">
        <v>1487</v>
      </c>
    </row>
    <row r="99" spans="1:15" hidden="1" x14ac:dyDescent="0.2">
      <c r="A99" s="227">
        <v>115</v>
      </c>
      <c r="B99" s="225"/>
      <c r="C99" s="228" t="s">
        <v>43</v>
      </c>
      <c r="D99" s="225" t="s">
        <v>27</v>
      </c>
      <c r="E99" s="225"/>
      <c r="F99" s="228"/>
      <c r="G99" s="228"/>
      <c r="H99" s="228"/>
      <c r="I99" s="228"/>
      <c r="J99" s="225"/>
      <c r="K99" s="230">
        <v>22517</v>
      </c>
      <c r="L99" s="230">
        <v>22517</v>
      </c>
      <c r="M99" s="228"/>
      <c r="N99" s="228"/>
      <c r="O99" s="228" t="s">
        <v>1487</v>
      </c>
    </row>
    <row r="100" spans="1:15" hidden="1" x14ac:dyDescent="0.2">
      <c r="A100" s="227">
        <v>116</v>
      </c>
      <c r="B100" s="225"/>
      <c r="C100" s="228" t="s">
        <v>114</v>
      </c>
      <c r="D100" s="225" t="s">
        <v>27</v>
      </c>
      <c r="E100" s="225"/>
      <c r="F100" s="228"/>
      <c r="G100" s="228"/>
      <c r="H100" s="228"/>
      <c r="I100" s="228"/>
      <c r="J100" s="225"/>
      <c r="K100" s="230">
        <v>18390</v>
      </c>
      <c r="L100" s="230">
        <v>18390</v>
      </c>
      <c r="M100" s="228"/>
      <c r="N100" s="228"/>
      <c r="O100" s="228" t="s">
        <v>1487</v>
      </c>
    </row>
    <row r="101" spans="1:15" ht="25.5" hidden="1" x14ac:dyDescent="0.2">
      <c r="A101" s="227">
        <v>117</v>
      </c>
      <c r="B101" s="225"/>
      <c r="C101" s="228" t="s">
        <v>97</v>
      </c>
      <c r="D101" s="225" t="s">
        <v>27</v>
      </c>
      <c r="E101" s="225"/>
      <c r="F101" s="228"/>
      <c r="G101" s="228"/>
      <c r="H101" s="228"/>
      <c r="I101" s="228"/>
      <c r="J101" s="225"/>
      <c r="K101" s="230">
        <v>113760</v>
      </c>
      <c r="L101" s="230">
        <v>113760</v>
      </c>
      <c r="M101" s="228"/>
      <c r="N101" s="228"/>
      <c r="O101" s="228" t="s">
        <v>1487</v>
      </c>
    </row>
    <row r="102" spans="1:15" hidden="1" x14ac:dyDescent="0.2">
      <c r="A102" s="227">
        <v>118</v>
      </c>
      <c r="B102" s="225"/>
      <c r="C102" s="228" t="s">
        <v>110</v>
      </c>
      <c r="D102" s="225" t="s">
        <v>27</v>
      </c>
      <c r="E102" s="225"/>
      <c r="F102" s="228"/>
      <c r="G102" s="228"/>
      <c r="H102" s="228"/>
      <c r="I102" s="228"/>
      <c r="J102" s="225"/>
      <c r="K102" s="230">
        <v>104280</v>
      </c>
      <c r="L102" s="230">
        <v>104280</v>
      </c>
      <c r="M102" s="228"/>
      <c r="N102" s="228"/>
      <c r="O102" s="228" t="s">
        <v>1487</v>
      </c>
    </row>
    <row r="103" spans="1:15" hidden="1" x14ac:dyDescent="0.2">
      <c r="A103" s="227">
        <v>119</v>
      </c>
      <c r="B103" s="225"/>
      <c r="C103" s="228" t="s">
        <v>94</v>
      </c>
      <c r="D103" s="225" t="s">
        <v>27</v>
      </c>
      <c r="E103" s="225"/>
      <c r="F103" s="228"/>
      <c r="G103" s="228"/>
      <c r="H103" s="228"/>
      <c r="I103" s="228"/>
      <c r="J103" s="225"/>
      <c r="K103" s="230">
        <v>116240</v>
      </c>
      <c r="L103" s="230">
        <v>116240</v>
      </c>
      <c r="M103" s="228"/>
      <c r="N103" s="228"/>
      <c r="O103" s="228" t="s">
        <v>1487</v>
      </c>
    </row>
    <row r="104" spans="1:15" hidden="1" x14ac:dyDescent="0.2">
      <c r="A104" s="227">
        <v>120</v>
      </c>
      <c r="B104" s="225"/>
      <c r="C104" s="228" t="s">
        <v>107</v>
      </c>
      <c r="D104" s="225" t="s">
        <v>27</v>
      </c>
      <c r="E104" s="225"/>
      <c r="F104" s="228"/>
      <c r="G104" s="228"/>
      <c r="H104" s="228"/>
      <c r="I104" s="228"/>
      <c r="J104" s="225"/>
      <c r="K104" s="230">
        <v>57600</v>
      </c>
      <c r="L104" s="230">
        <v>57600</v>
      </c>
      <c r="M104" s="228"/>
      <c r="N104" s="228"/>
      <c r="O104" s="228" t="s">
        <v>1487</v>
      </c>
    </row>
    <row r="105" spans="1:15" ht="42.75" x14ac:dyDescent="0.2">
      <c r="A105" s="227">
        <v>6</v>
      </c>
      <c r="B105" s="225" t="s">
        <v>117</v>
      </c>
      <c r="C105" s="228" t="s">
        <v>118</v>
      </c>
      <c r="D105" s="225" t="s">
        <v>26</v>
      </c>
      <c r="E105" s="225" t="s">
        <v>52</v>
      </c>
      <c r="F105" s="229" t="s">
        <v>1520</v>
      </c>
      <c r="G105" s="229" t="s">
        <v>1520</v>
      </c>
      <c r="H105" s="229" t="s">
        <v>1489</v>
      </c>
      <c r="I105" s="229" t="s">
        <v>1489</v>
      </c>
      <c r="J105" s="225" t="s">
        <v>1485</v>
      </c>
      <c r="K105" s="230">
        <v>3565489.24</v>
      </c>
      <c r="L105" s="230">
        <v>3565489.24</v>
      </c>
      <c r="M105" s="230">
        <v>0</v>
      </c>
      <c r="N105" s="230">
        <v>0</v>
      </c>
      <c r="O105" s="4" t="s">
        <v>1486</v>
      </c>
    </row>
    <row r="106" spans="1:15" hidden="1" x14ac:dyDescent="0.2">
      <c r="A106" s="227">
        <v>122</v>
      </c>
      <c r="B106" s="225"/>
      <c r="C106" s="228" t="s">
        <v>120</v>
      </c>
      <c r="D106" s="225" t="s">
        <v>27</v>
      </c>
      <c r="E106" s="225"/>
      <c r="F106" s="228"/>
      <c r="G106" s="228"/>
      <c r="H106" s="228"/>
      <c r="I106" s="228"/>
      <c r="J106" s="225"/>
      <c r="K106" s="230">
        <v>1500000</v>
      </c>
      <c r="L106" s="230">
        <v>1500000</v>
      </c>
      <c r="M106" s="228"/>
      <c r="N106" s="228"/>
      <c r="O106" s="228" t="s">
        <v>1487</v>
      </c>
    </row>
    <row r="107" spans="1:15" hidden="1" x14ac:dyDescent="0.2">
      <c r="A107" s="227">
        <v>123</v>
      </c>
      <c r="B107" s="225"/>
      <c r="C107" s="228" t="s">
        <v>35</v>
      </c>
      <c r="D107" s="225" t="s">
        <v>27</v>
      </c>
      <c r="E107" s="225"/>
      <c r="F107" s="228"/>
      <c r="G107" s="228"/>
      <c r="H107" s="228"/>
      <c r="I107" s="228"/>
      <c r="J107" s="225"/>
      <c r="K107" s="230">
        <v>1291614.75</v>
      </c>
      <c r="L107" s="230">
        <v>1291614.75</v>
      </c>
      <c r="M107" s="228"/>
      <c r="N107" s="228"/>
      <c r="O107" s="228" t="s">
        <v>1487</v>
      </c>
    </row>
    <row r="108" spans="1:15" ht="38.25" hidden="1" x14ac:dyDescent="0.2">
      <c r="A108" s="227">
        <v>124</v>
      </c>
      <c r="B108" s="225"/>
      <c r="C108" s="228" t="s">
        <v>42</v>
      </c>
      <c r="D108" s="225" t="s">
        <v>27</v>
      </c>
      <c r="E108" s="225"/>
      <c r="F108" s="228"/>
      <c r="G108" s="228"/>
      <c r="H108" s="228"/>
      <c r="I108" s="228"/>
      <c r="J108" s="225"/>
      <c r="K108" s="230">
        <v>26000</v>
      </c>
      <c r="L108" s="230">
        <v>26000</v>
      </c>
      <c r="M108" s="228"/>
      <c r="N108" s="228"/>
      <c r="O108" s="228" t="s">
        <v>1487</v>
      </c>
    </row>
    <row r="109" spans="1:15" ht="25.5" hidden="1" x14ac:dyDescent="0.2">
      <c r="A109" s="227">
        <v>125</v>
      </c>
      <c r="B109" s="225"/>
      <c r="C109" s="228" t="s">
        <v>36</v>
      </c>
      <c r="D109" s="225" t="s">
        <v>27</v>
      </c>
      <c r="E109" s="225"/>
      <c r="F109" s="228"/>
      <c r="G109" s="228"/>
      <c r="H109" s="228"/>
      <c r="I109" s="228"/>
      <c r="J109" s="225"/>
      <c r="K109" s="230">
        <v>61700.5</v>
      </c>
      <c r="L109" s="230">
        <v>61700.5</v>
      </c>
      <c r="M109" s="228"/>
      <c r="N109" s="228"/>
      <c r="O109" s="228" t="s">
        <v>1487</v>
      </c>
    </row>
    <row r="110" spans="1:15" hidden="1" x14ac:dyDescent="0.2">
      <c r="A110" s="227">
        <v>126</v>
      </c>
      <c r="B110" s="225"/>
      <c r="C110" s="228" t="s">
        <v>44</v>
      </c>
      <c r="D110" s="225" t="s">
        <v>27</v>
      </c>
      <c r="E110" s="225"/>
      <c r="F110" s="228"/>
      <c r="G110" s="228"/>
      <c r="H110" s="228"/>
      <c r="I110" s="228"/>
      <c r="J110" s="225"/>
      <c r="K110" s="230">
        <v>184000</v>
      </c>
      <c r="L110" s="230">
        <v>184000</v>
      </c>
      <c r="M110" s="228"/>
      <c r="N110" s="228"/>
      <c r="O110" s="228" t="s">
        <v>1487</v>
      </c>
    </row>
    <row r="111" spans="1:15" ht="25.5" hidden="1" x14ac:dyDescent="0.2">
      <c r="A111" s="227">
        <v>127</v>
      </c>
      <c r="B111" s="225"/>
      <c r="C111" s="228" t="s">
        <v>72</v>
      </c>
      <c r="D111" s="225" t="s">
        <v>27</v>
      </c>
      <c r="E111" s="225"/>
      <c r="F111" s="228"/>
      <c r="G111" s="228"/>
      <c r="H111" s="228"/>
      <c r="I111" s="228"/>
      <c r="J111" s="225"/>
      <c r="K111" s="230">
        <v>502173.99</v>
      </c>
      <c r="L111" s="230">
        <v>502173.99</v>
      </c>
      <c r="M111" s="228"/>
      <c r="N111" s="228"/>
      <c r="O111" s="228" t="s">
        <v>1487</v>
      </c>
    </row>
    <row r="112" spans="1:15" ht="42.75" x14ac:dyDescent="0.2">
      <c r="A112" s="227">
        <v>7</v>
      </c>
      <c r="B112" s="225" t="s">
        <v>121</v>
      </c>
      <c r="C112" s="228" t="s">
        <v>122</v>
      </c>
      <c r="D112" s="225" t="s">
        <v>26</v>
      </c>
      <c r="E112" s="225" t="s">
        <v>123</v>
      </c>
      <c r="F112" s="229" t="s">
        <v>1521</v>
      </c>
      <c r="G112" s="229" t="s">
        <v>1521</v>
      </c>
      <c r="H112" s="229" t="s">
        <v>1521</v>
      </c>
      <c r="I112" s="229" t="s">
        <v>1521</v>
      </c>
      <c r="J112" s="225" t="s">
        <v>1485</v>
      </c>
      <c r="K112" s="230">
        <v>72000000</v>
      </c>
      <c r="L112" s="230">
        <v>72000000</v>
      </c>
      <c r="M112" s="230">
        <v>0</v>
      </c>
      <c r="N112" s="230">
        <v>0</v>
      </c>
      <c r="O112" s="4" t="s">
        <v>1486</v>
      </c>
    </row>
    <row r="113" spans="1:15" ht="25.5" hidden="1" x14ac:dyDescent="0.2">
      <c r="A113" s="227">
        <v>129</v>
      </c>
      <c r="B113" s="225"/>
      <c r="C113" s="228" t="s">
        <v>124</v>
      </c>
      <c r="D113" s="225" t="s">
        <v>27</v>
      </c>
      <c r="E113" s="225"/>
      <c r="F113" s="228"/>
      <c r="G113" s="228"/>
      <c r="H113" s="228"/>
      <c r="I113" s="228"/>
      <c r="J113" s="225"/>
      <c r="K113" s="230">
        <v>72000000</v>
      </c>
      <c r="L113" s="230">
        <v>72000000</v>
      </c>
      <c r="M113" s="228"/>
      <c r="N113" s="228"/>
      <c r="O113" s="228" t="s">
        <v>1487</v>
      </c>
    </row>
    <row r="114" spans="1:15" ht="42.75" x14ac:dyDescent="0.2">
      <c r="A114" s="227">
        <v>8</v>
      </c>
      <c r="B114" s="225" t="s">
        <v>121</v>
      </c>
      <c r="C114" s="228" t="s">
        <v>122</v>
      </c>
      <c r="D114" s="225" t="s">
        <v>26</v>
      </c>
      <c r="E114" s="225" t="s">
        <v>52</v>
      </c>
      <c r="F114" s="229" t="s">
        <v>1489</v>
      </c>
      <c r="G114" s="229" t="s">
        <v>1489</v>
      </c>
      <c r="H114" s="229" t="s">
        <v>1489</v>
      </c>
      <c r="I114" s="229" t="s">
        <v>1489</v>
      </c>
      <c r="J114" s="225" t="s">
        <v>1485</v>
      </c>
      <c r="K114" s="230">
        <v>50164821.030000001</v>
      </c>
      <c r="L114" s="230">
        <v>50164821.030000001</v>
      </c>
      <c r="M114" s="230">
        <v>0</v>
      </c>
      <c r="N114" s="230">
        <v>0</v>
      </c>
      <c r="O114" s="4" t="s">
        <v>1486</v>
      </c>
    </row>
    <row r="115" spans="1:15" ht="25.5" hidden="1" x14ac:dyDescent="0.2">
      <c r="A115" s="227">
        <v>131</v>
      </c>
      <c r="B115" s="225"/>
      <c r="C115" s="228" t="s">
        <v>72</v>
      </c>
      <c r="D115" s="225" t="s">
        <v>27</v>
      </c>
      <c r="E115" s="225"/>
      <c r="F115" s="228"/>
      <c r="G115" s="228"/>
      <c r="H115" s="228"/>
      <c r="I115" s="228"/>
      <c r="J115" s="225"/>
      <c r="K115" s="230">
        <v>2261755.08</v>
      </c>
      <c r="L115" s="230">
        <v>2261755.08</v>
      </c>
      <c r="M115" s="228"/>
      <c r="N115" s="228"/>
      <c r="O115" s="228" t="s">
        <v>1487</v>
      </c>
    </row>
    <row r="116" spans="1:15" ht="38.25" hidden="1" x14ac:dyDescent="0.2">
      <c r="A116" s="227">
        <v>132</v>
      </c>
      <c r="B116" s="225"/>
      <c r="C116" s="228" t="s">
        <v>106</v>
      </c>
      <c r="D116" s="225" t="s">
        <v>27</v>
      </c>
      <c r="E116" s="225"/>
      <c r="F116" s="228"/>
      <c r="G116" s="228"/>
      <c r="H116" s="228"/>
      <c r="I116" s="228"/>
      <c r="J116" s="225"/>
      <c r="K116" s="230">
        <v>1123515</v>
      </c>
      <c r="L116" s="230">
        <v>1123515</v>
      </c>
      <c r="M116" s="228"/>
      <c r="N116" s="228"/>
      <c r="O116" s="228" t="s">
        <v>1487</v>
      </c>
    </row>
    <row r="117" spans="1:15" ht="38.25" hidden="1" x14ac:dyDescent="0.2">
      <c r="A117" s="227">
        <v>133</v>
      </c>
      <c r="B117" s="225"/>
      <c r="C117" s="228" t="s">
        <v>42</v>
      </c>
      <c r="D117" s="225" t="s">
        <v>27</v>
      </c>
      <c r="E117" s="225"/>
      <c r="F117" s="228"/>
      <c r="G117" s="228"/>
      <c r="H117" s="228"/>
      <c r="I117" s="228"/>
      <c r="J117" s="225"/>
      <c r="K117" s="230">
        <v>495820</v>
      </c>
      <c r="L117" s="230">
        <v>495820</v>
      </c>
      <c r="M117" s="228"/>
      <c r="N117" s="228"/>
      <c r="O117" s="228" t="s">
        <v>1487</v>
      </c>
    </row>
    <row r="118" spans="1:15" ht="25.5" hidden="1" x14ac:dyDescent="0.2">
      <c r="A118" s="227">
        <v>134</v>
      </c>
      <c r="B118" s="225"/>
      <c r="C118" s="228" t="s">
        <v>133</v>
      </c>
      <c r="D118" s="225" t="s">
        <v>27</v>
      </c>
      <c r="E118" s="225"/>
      <c r="F118" s="228"/>
      <c r="G118" s="228"/>
      <c r="H118" s="228"/>
      <c r="I118" s="228"/>
      <c r="J118" s="225"/>
      <c r="K118" s="230">
        <v>1547000</v>
      </c>
      <c r="L118" s="230">
        <v>1547000</v>
      </c>
      <c r="M118" s="228"/>
      <c r="N118" s="228"/>
      <c r="O118" s="228" t="s">
        <v>1487</v>
      </c>
    </row>
    <row r="119" spans="1:15" hidden="1" x14ac:dyDescent="0.2">
      <c r="A119" s="227">
        <v>135</v>
      </c>
      <c r="B119" s="225"/>
      <c r="C119" s="228" t="s">
        <v>44</v>
      </c>
      <c r="D119" s="225" t="s">
        <v>27</v>
      </c>
      <c r="E119" s="225"/>
      <c r="F119" s="228"/>
      <c r="G119" s="228"/>
      <c r="H119" s="228"/>
      <c r="I119" s="228"/>
      <c r="J119" s="225"/>
      <c r="K119" s="230">
        <v>3508880</v>
      </c>
      <c r="L119" s="230">
        <v>3508880</v>
      </c>
      <c r="M119" s="228"/>
      <c r="N119" s="228"/>
      <c r="O119" s="228" t="s">
        <v>1487</v>
      </c>
    </row>
    <row r="120" spans="1:15" hidden="1" x14ac:dyDescent="0.2">
      <c r="A120" s="227">
        <v>136</v>
      </c>
      <c r="B120" s="225"/>
      <c r="C120" s="228" t="s">
        <v>35</v>
      </c>
      <c r="D120" s="225" t="s">
        <v>27</v>
      </c>
      <c r="E120" s="225"/>
      <c r="F120" s="228"/>
      <c r="G120" s="228"/>
      <c r="H120" s="228"/>
      <c r="I120" s="228"/>
      <c r="J120" s="225"/>
      <c r="K120" s="230">
        <v>10607024.25</v>
      </c>
      <c r="L120" s="230">
        <v>10607024.25</v>
      </c>
      <c r="M120" s="228"/>
      <c r="N120" s="228"/>
      <c r="O120" s="228" t="s">
        <v>1487</v>
      </c>
    </row>
    <row r="121" spans="1:15" hidden="1" x14ac:dyDescent="0.2">
      <c r="A121" s="227">
        <v>137</v>
      </c>
      <c r="B121" s="225"/>
      <c r="C121" s="228" t="s">
        <v>134</v>
      </c>
      <c r="D121" s="225" t="s">
        <v>27</v>
      </c>
      <c r="E121" s="225"/>
      <c r="F121" s="228"/>
      <c r="G121" s="228"/>
      <c r="H121" s="228"/>
      <c r="I121" s="228"/>
      <c r="J121" s="225"/>
      <c r="K121" s="230">
        <v>2825784</v>
      </c>
      <c r="L121" s="230">
        <v>2825784</v>
      </c>
      <c r="M121" s="228"/>
      <c r="N121" s="228"/>
      <c r="O121" s="228" t="s">
        <v>1487</v>
      </c>
    </row>
    <row r="122" spans="1:15" ht="25.5" hidden="1" x14ac:dyDescent="0.2">
      <c r="A122" s="227">
        <v>138</v>
      </c>
      <c r="B122" s="225"/>
      <c r="C122" s="228" t="s">
        <v>132</v>
      </c>
      <c r="D122" s="225" t="s">
        <v>27</v>
      </c>
      <c r="E122" s="225"/>
      <c r="F122" s="228"/>
      <c r="G122" s="228"/>
      <c r="H122" s="228"/>
      <c r="I122" s="228"/>
      <c r="J122" s="225"/>
      <c r="K122" s="230">
        <v>8508000</v>
      </c>
      <c r="L122" s="230">
        <v>8508000</v>
      </c>
      <c r="M122" s="228"/>
      <c r="N122" s="228"/>
      <c r="O122" s="228" t="s">
        <v>1487</v>
      </c>
    </row>
    <row r="123" spans="1:15" ht="25.5" hidden="1" x14ac:dyDescent="0.2">
      <c r="A123" s="227">
        <v>139</v>
      </c>
      <c r="B123" s="225"/>
      <c r="C123" s="228" t="s">
        <v>126</v>
      </c>
      <c r="D123" s="225" t="s">
        <v>27</v>
      </c>
      <c r="E123" s="225"/>
      <c r="F123" s="228"/>
      <c r="G123" s="228"/>
      <c r="H123" s="228"/>
      <c r="I123" s="228"/>
      <c r="J123" s="225"/>
      <c r="K123" s="230">
        <v>610998.19999999995</v>
      </c>
      <c r="L123" s="230">
        <v>610998.19999999995</v>
      </c>
      <c r="M123" s="228"/>
      <c r="N123" s="228"/>
      <c r="O123" s="228" t="s">
        <v>1487</v>
      </c>
    </row>
    <row r="124" spans="1:15" ht="25.5" hidden="1" x14ac:dyDescent="0.2">
      <c r="A124" s="227">
        <v>140</v>
      </c>
      <c r="B124" s="225"/>
      <c r="C124" s="228" t="s">
        <v>36</v>
      </c>
      <c r="D124" s="225" t="s">
        <v>27</v>
      </c>
      <c r="E124" s="225"/>
      <c r="F124" s="228"/>
      <c r="G124" s="228"/>
      <c r="H124" s="228"/>
      <c r="I124" s="228"/>
      <c r="J124" s="225"/>
      <c r="K124" s="230">
        <v>526740.5</v>
      </c>
      <c r="L124" s="230">
        <v>526740.5</v>
      </c>
      <c r="M124" s="228"/>
      <c r="N124" s="228"/>
      <c r="O124" s="228" t="s">
        <v>1487</v>
      </c>
    </row>
    <row r="125" spans="1:15" ht="25.5" hidden="1" x14ac:dyDescent="0.2">
      <c r="A125" s="227">
        <v>141</v>
      </c>
      <c r="B125" s="225"/>
      <c r="C125" s="228" t="s">
        <v>135</v>
      </c>
      <c r="D125" s="225" t="s">
        <v>27</v>
      </c>
      <c r="E125" s="225"/>
      <c r="F125" s="228"/>
      <c r="G125" s="228"/>
      <c r="H125" s="228"/>
      <c r="I125" s="228"/>
      <c r="J125" s="225"/>
      <c r="K125" s="230">
        <v>18149304</v>
      </c>
      <c r="L125" s="230">
        <v>18149304</v>
      </c>
      <c r="M125" s="228"/>
      <c r="N125" s="228"/>
      <c r="O125" s="228" t="s">
        <v>1487</v>
      </c>
    </row>
    <row r="126" spans="1:15" ht="42.75" x14ac:dyDescent="0.2">
      <c r="A126" s="227">
        <v>9</v>
      </c>
      <c r="B126" s="225" t="s">
        <v>136</v>
      </c>
      <c r="C126" s="228" t="s">
        <v>137</v>
      </c>
      <c r="D126" s="225" t="s">
        <v>26</v>
      </c>
      <c r="E126" s="225" t="s">
        <v>52</v>
      </c>
      <c r="F126" s="229" t="s">
        <v>1520</v>
      </c>
      <c r="G126" s="229" t="s">
        <v>1520</v>
      </c>
      <c r="H126" s="229" t="s">
        <v>1489</v>
      </c>
      <c r="I126" s="229" t="s">
        <v>1489</v>
      </c>
      <c r="J126" s="225" t="s">
        <v>1485</v>
      </c>
      <c r="K126" s="230">
        <v>989074</v>
      </c>
      <c r="L126" s="230">
        <v>989074</v>
      </c>
      <c r="M126" s="230">
        <v>0</v>
      </c>
      <c r="N126" s="230">
        <v>0</v>
      </c>
      <c r="O126" s="4" t="s">
        <v>1486</v>
      </c>
    </row>
    <row r="127" spans="1:15" ht="25.5" hidden="1" x14ac:dyDescent="0.2">
      <c r="A127" s="227">
        <v>143</v>
      </c>
      <c r="B127" s="225"/>
      <c r="C127" s="228" t="s">
        <v>105</v>
      </c>
      <c r="D127" s="225" t="s">
        <v>27</v>
      </c>
      <c r="E127" s="225"/>
      <c r="F127" s="228"/>
      <c r="G127" s="228"/>
      <c r="H127" s="228"/>
      <c r="I127" s="228"/>
      <c r="J127" s="225"/>
      <c r="K127" s="230">
        <v>45000</v>
      </c>
      <c r="L127" s="230">
        <v>45000</v>
      </c>
      <c r="M127" s="228"/>
      <c r="N127" s="228"/>
      <c r="O127" s="228" t="s">
        <v>1487</v>
      </c>
    </row>
    <row r="128" spans="1:15" ht="25.5" hidden="1" x14ac:dyDescent="0.2">
      <c r="A128" s="227">
        <v>144</v>
      </c>
      <c r="B128" s="225"/>
      <c r="C128" s="228" t="s">
        <v>101</v>
      </c>
      <c r="D128" s="225" t="s">
        <v>27</v>
      </c>
      <c r="E128" s="225"/>
      <c r="F128" s="228"/>
      <c r="G128" s="228"/>
      <c r="H128" s="228"/>
      <c r="I128" s="228"/>
      <c r="J128" s="225"/>
      <c r="K128" s="230">
        <v>474754</v>
      </c>
      <c r="L128" s="230">
        <v>474754</v>
      </c>
      <c r="M128" s="228"/>
      <c r="N128" s="228"/>
      <c r="O128" s="228" t="s">
        <v>1487</v>
      </c>
    </row>
    <row r="129" spans="1:15" ht="25.5" hidden="1" x14ac:dyDescent="0.2">
      <c r="A129" s="227">
        <v>145</v>
      </c>
      <c r="B129" s="225"/>
      <c r="C129" s="228" t="s">
        <v>109</v>
      </c>
      <c r="D129" s="225" t="s">
        <v>27</v>
      </c>
      <c r="E129" s="225"/>
      <c r="F129" s="228"/>
      <c r="G129" s="228"/>
      <c r="H129" s="228"/>
      <c r="I129" s="228"/>
      <c r="J129" s="225"/>
      <c r="K129" s="230">
        <v>27760</v>
      </c>
      <c r="L129" s="230">
        <v>27760</v>
      </c>
      <c r="M129" s="228"/>
      <c r="N129" s="228"/>
      <c r="O129" s="228" t="s">
        <v>1487</v>
      </c>
    </row>
    <row r="130" spans="1:15" hidden="1" x14ac:dyDescent="0.2">
      <c r="A130" s="227">
        <v>146</v>
      </c>
      <c r="B130" s="225"/>
      <c r="C130" s="228" t="s">
        <v>43</v>
      </c>
      <c r="D130" s="225" t="s">
        <v>27</v>
      </c>
      <c r="E130" s="225"/>
      <c r="F130" s="228"/>
      <c r="G130" s="228"/>
      <c r="H130" s="228"/>
      <c r="I130" s="228"/>
      <c r="J130" s="225"/>
      <c r="K130" s="230">
        <v>193800</v>
      </c>
      <c r="L130" s="230">
        <v>193800</v>
      </c>
      <c r="M130" s="228"/>
      <c r="N130" s="228"/>
      <c r="O130" s="228" t="s">
        <v>1487</v>
      </c>
    </row>
    <row r="131" spans="1:15" ht="25.5" hidden="1" x14ac:dyDescent="0.2">
      <c r="A131" s="227">
        <v>147</v>
      </c>
      <c r="B131" s="225"/>
      <c r="C131" s="228" t="s">
        <v>100</v>
      </c>
      <c r="D131" s="225" t="s">
        <v>27</v>
      </c>
      <c r="E131" s="225"/>
      <c r="F131" s="228"/>
      <c r="G131" s="228"/>
      <c r="H131" s="228"/>
      <c r="I131" s="228"/>
      <c r="J131" s="225"/>
      <c r="K131" s="230">
        <v>15760</v>
      </c>
      <c r="L131" s="230">
        <v>15760</v>
      </c>
      <c r="M131" s="228"/>
      <c r="N131" s="228"/>
      <c r="O131" s="228" t="s">
        <v>1487</v>
      </c>
    </row>
    <row r="132" spans="1:15" ht="25.5" hidden="1" x14ac:dyDescent="0.2">
      <c r="A132" s="227">
        <v>148</v>
      </c>
      <c r="B132" s="225"/>
      <c r="C132" s="228" t="s">
        <v>87</v>
      </c>
      <c r="D132" s="225" t="s">
        <v>27</v>
      </c>
      <c r="E132" s="225"/>
      <c r="F132" s="228"/>
      <c r="G132" s="228"/>
      <c r="H132" s="228"/>
      <c r="I132" s="228"/>
      <c r="J132" s="225"/>
      <c r="K132" s="230">
        <v>232000</v>
      </c>
      <c r="L132" s="230">
        <v>232000</v>
      </c>
      <c r="M132" s="228"/>
      <c r="N132" s="228"/>
      <c r="O132" s="228" t="s">
        <v>1487</v>
      </c>
    </row>
    <row r="133" spans="1:15" ht="42.75" x14ac:dyDescent="0.2">
      <c r="A133" s="227">
        <v>10</v>
      </c>
      <c r="B133" s="225" t="s">
        <v>138</v>
      </c>
      <c r="C133" s="228" t="s">
        <v>139</v>
      </c>
      <c r="D133" s="225" t="s">
        <v>26</v>
      </c>
      <c r="E133" s="225" t="s">
        <v>52</v>
      </c>
      <c r="F133" s="229" t="s">
        <v>1522</v>
      </c>
      <c r="G133" s="229" t="s">
        <v>1522</v>
      </c>
      <c r="H133" s="229" t="s">
        <v>1522</v>
      </c>
      <c r="I133" s="229" t="s">
        <v>1522</v>
      </c>
      <c r="J133" s="225" t="s">
        <v>1485</v>
      </c>
      <c r="K133" s="230">
        <v>1150000</v>
      </c>
      <c r="L133" s="230">
        <v>1150000</v>
      </c>
      <c r="M133" s="230">
        <v>0</v>
      </c>
      <c r="N133" s="230">
        <v>0</v>
      </c>
      <c r="O133" s="4" t="s">
        <v>1486</v>
      </c>
    </row>
    <row r="134" spans="1:15" ht="25.5" hidden="1" x14ac:dyDescent="0.2">
      <c r="A134" s="227">
        <v>150</v>
      </c>
      <c r="B134" s="225"/>
      <c r="C134" s="228" t="s">
        <v>126</v>
      </c>
      <c r="D134" s="225" t="s">
        <v>27</v>
      </c>
      <c r="E134" s="225"/>
      <c r="F134" s="228"/>
      <c r="G134" s="228"/>
      <c r="H134" s="228"/>
      <c r="I134" s="228"/>
      <c r="J134" s="225"/>
      <c r="K134" s="230">
        <v>1150000</v>
      </c>
      <c r="L134" s="230">
        <v>1150000</v>
      </c>
      <c r="M134" s="228"/>
      <c r="N134" s="228"/>
      <c r="O134" s="228" t="s">
        <v>1487</v>
      </c>
    </row>
    <row r="135" spans="1:15" ht="42.75" x14ac:dyDescent="0.2">
      <c r="A135" s="227">
        <v>11</v>
      </c>
      <c r="B135" s="225" t="s">
        <v>141</v>
      </c>
      <c r="C135" s="228" t="s">
        <v>142</v>
      </c>
      <c r="D135" s="225" t="s">
        <v>26</v>
      </c>
      <c r="E135" s="225" t="s">
        <v>52</v>
      </c>
      <c r="F135" s="229" t="s">
        <v>1489</v>
      </c>
      <c r="G135" s="229" t="s">
        <v>1489</v>
      </c>
      <c r="H135" s="229" t="s">
        <v>1489</v>
      </c>
      <c r="I135" s="229" t="s">
        <v>1489</v>
      </c>
      <c r="J135" s="225" t="s">
        <v>1485</v>
      </c>
      <c r="K135" s="230">
        <v>32114618.359999999</v>
      </c>
      <c r="L135" s="230">
        <v>32114618.359999999</v>
      </c>
      <c r="M135" s="230">
        <v>0</v>
      </c>
      <c r="N135" s="230">
        <v>0</v>
      </c>
      <c r="O135" s="4" t="s">
        <v>1486</v>
      </c>
    </row>
    <row r="136" spans="1:15" hidden="1" x14ac:dyDescent="0.2">
      <c r="A136" s="227">
        <v>152</v>
      </c>
      <c r="B136" s="225"/>
      <c r="C136" s="228" t="s">
        <v>44</v>
      </c>
      <c r="D136" s="225" t="s">
        <v>27</v>
      </c>
      <c r="E136" s="225"/>
      <c r="F136" s="228"/>
      <c r="G136" s="228"/>
      <c r="H136" s="228"/>
      <c r="I136" s="228"/>
      <c r="J136" s="225"/>
      <c r="K136" s="230">
        <v>2365760</v>
      </c>
      <c r="L136" s="230">
        <v>2365760</v>
      </c>
      <c r="M136" s="228"/>
      <c r="N136" s="228"/>
      <c r="O136" s="228" t="s">
        <v>1487</v>
      </c>
    </row>
    <row r="137" spans="1:15" hidden="1" x14ac:dyDescent="0.2">
      <c r="A137" s="227">
        <v>153</v>
      </c>
      <c r="B137" s="225"/>
      <c r="C137" s="228" t="s">
        <v>180</v>
      </c>
      <c r="D137" s="225" t="s">
        <v>27</v>
      </c>
      <c r="E137" s="225"/>
      <c r="F137" s="228"/>
      <c r="G137" s="228"/>
      <c r="H137" s="228"/>
      <c r="I137" s="228"/>
      <c r="J137" s="225"/>
      <c r="K137" s="230">
        <v>6927000</v>
      </c>
      <c r="L137" s="230">
        <v>6927000</v>
      </c>
      <c r="M137" s="228"/>
      <c r="N137" s="228"/>
      <c r="O137" s="228" t="s">
        <v>1487</v>
      </c>
    </row>
    <row r="138" spans="1:15" hidden="1" x14ac:dyDescent="0.2">
      <c r="A138" s="227">
        <v>154</v>
      </c>
      <c r="B138" s="225"/>
      <c r="C138" s="228" t="s">
        <v>165</v>
      </c>
      <c r="D138" s="225" t="s">
        <v>27</v>
      </c>
      <c r="E138" s="225"/>
      <c r="F138" s="228"/>
      <c r="G138" s="228"/>
      <c r="H138" s="228"/>
      <c r="I138" s="228"/>
      <c r="J138" s="225"/>
      <c r="K138" s="230">
        <v>111000</v>
      </c>
      <c r="L138" s="230">
        <v>111000</v>
      </c>
      <c r="M138" s="228"/>
      <c r="N138" s="228"/>
      <c r="O138" s="228" t="s">
        <v>1487</v>
      </c>
    </row>
    <row r="139" spans="1:15" ht="25.5" hidden="1" x14ac:dyDescent="0.2">
      <c r="A139" s="227">
        <v>155</v>
      </c>
      <c r="B139" s="225"/>
      <c r="C139" s="228" t="s">
        <v>186</v>
      </c>
      <c r="D139" s="225" t="s">
        <v>27</v>
      </c>
      <c r="E139" s="225"/>
      <c r="F139" s="228"/>
      <c r="G139" s="228"/>
      <c r="H139" s="228"/>
      <c r="I139" s="228"/>
      <c r="J139" s="225"/>
      <c r="K139" s="230">
        <v>456000</v>
      </c>
      <c r="L139" s="230">
        <v>456000</v>
      </c>
      <c r="M139" s="228"/>
      <c r="N139" s="228"/>
      <c r="O139" s="228" t="s">
        <v>1487</v>
      </c>
    </row>
    <row r="140" spans="1:15" hidden="1" x14ac:dyDescent="0.2">
      <c r="A140" s="227">
        <v>156</v>
      </c>
      <c r="B140" s="225"/>
      <c r="C140" s="228" t="s">
        <v>163</v>
      </c>
      <c r="D140" s="225" t="s">
        <v>27</v>
      </c>
      <c r="E140" s="225"/>
      <c r="F140" s="228"/>
      <c r="G140" s="228"/>
      <c r="H140" s="228"/>
      <c r="I140" s="228"/>
      <c r="J140" s="225"/>
      <c r="K140" s="230">
        <v>162000</v>
      </c>
      <c r="L140" s="230">
        <v>162000</v>
      </c>
      <c r="M140" s="228"/>
      <c r="N140" s="228"/>
      <c r="O140" s="228" t="s">
        <v>1487</v>
      </c>
    </row>
    <row r="141" spans="1:15" hidden="1" x14ac:dyDescent="0.2">
      <c r="A141" s="227">
        <v>157</v>
      </c>
      <c r="B141" s="225"/>
      <c r="C141" s="228" t="s">
        <v>143</v>
      </c>
      <c r="D141" s="225" t="s">
        <v>27</v>
      </c>
      <c r="E141" s="225"/>
      <c r="F141" s="228"/>
      <c r="G141" s="228"/>
      <c r="H141" s="228"/>
      <c r="I141" s="228"/>
      <c r="J141" s="225"/>
      <c r="K141" s="230">
        <v>147200</v>
      </c>
      <c r="L141" s="230">
        <v>147200</v>
      </c>
      <c r="M141" s="228"/>
      <c r="N141" s="228"/>
      <c r="O141" s="228" t="s">
        <v>1487</v>
      </c>
    </row>
    <row r="142" spans="1:15" ht="25.5" hidden="1" x14ac:dyDescent="0.2">
      <c r="A142" s="227">
        <v>158</v>
      </c>
      <c r="B142" s="225"/>
      <c r="C142" s="228" t="s">
        <v>188</v>
      </c>
      <c r="D142" s="225" t="s">
        <v>27</v>
      </c>
      <c r="E142" s="225"/>
      <c r="F142" s="228"/>
      <c r="G142" s="228"/>
      <c r="H142" s="228"/>
      <c r="I142" s="228"/>
      <c r="J142" s="225"/>
      <c r="K142" s="230">
        <v>1701000</v>
      </c>
      <c r="L142" s="230">
        <v>1701000</v>
      </c>
      <c r="M142" s="228"/>
      <c r="N142" s="228"/>
      <c r="O142" s="228" t="s">
        <v>1487</v>
      </c>
    </row>
    <row r="143" spans="1:15" hidden="1" x14ac:dyDescent="0.2">
      <c r="A143" s="227">
        <v>159</v>
      </c>
      <c r="B143" s="225"/>
      <c r="C143" s="228" t="s">
        <v>147</v>
      </c>
      <c r="D143" s="225" t="s">
        <v>27</v>
      </c>
      <c r="E143" s="225"/>
      <c r="F143" s="228"/>
      <c r="G143" s="228"/>
      <c r="H143" s="228"/>
      <c r="I143" s="228"/>
      <c r="J143" s="225"/>
      <c r="K143" s="230">
        <v>1531999.44</v>
      </c>
      <c r="L143" s="230">
        <v>1531999.44</v>
      </c>
      <c r="M143" s="228"/>
      <c r="N143" s="228"/>
      <c r="O143" s="228" t="s">
        <v>1487</v>
      </c>
    </row>
    <row r="144" spans="1:15" hidden="1" x14ac:dyDescent="0.2">
      <c r="A144" s="227">
        <v>160</v>
      </c>
      <c r="B144" s="225"/>
      <c r="C144" s="228" t="s">
        <v>169</v>
      </c>
      <c r="D144" s="225" t="s">
        <v>27</v>
      </c>
      <c r="E144" s="225"/>
      <c r="F144" s="228"/>
      <c r="G144" s="228"/>
      <c r="H144" s="228"/>
      <c r="I144" s="228"/>
      <c r="J144" s="225"/>
      <c r="K144" s="230">
        <v>646000</v>
      </c>
      <c r="L144" s="230">
        <v>646000</v>
      </c>
      <c r="M144" s="228"/>
      <c r="N144" s="228"/>
      <c r="O144" s="228" t="s">
        <v>1487</v>
      </c>
    </row>
    <row r="145" spans="1:15" hidden="1" x14ac:dyDescent="0.2">
      <c r="A145" s="227">
        <v>161</v>
      </c>
      <c r="B145" s="225"/>
      <c r="C145" s="228" t="s">
        <v>168</v>
      </c>
      <c r="D145" s="225" t="s">
        <v>27</v>
      </c>
      <c r="E145" s="225"/>
      <c r="F145" s="228"/>
      <c r="G145" s="228"/>
      <c r="H145" s="228"/>
      <c r="I145" s="228"/>
      <c r="J145" s="225"/>
      <c r="K145" s="230">
        <v>45800</v>
      </c>
      <c r="L145" s="230">
        <v>45800</v>
      </c>
      <c r="M145" s="228"/>
      <c r="N145" s="228"/>
      <c r="O145" s="228" t="s">
        <v>1487</v>
      </c>
    </row>
    <row r="146" spans="1:15" hidden="1" x14ac:dyDescent="0.2">
      <c r="A146" s="227">
        <v>162</v>
      </c>
      <c r="B146" s="225"/>
      <c r="C146" s="228" t="s">
        <v>157</v>
      </c>
      <c r="D146" s="225" t="s">
        <v>27</v>
      </c>
      <c r="E146" s="225"/>
      <c r="F146" s="228"/>
      <c r="G146" s="228"/>
      <c r="H146" s="228"/>
      <c r="I146" s="228"/>
      <c r="J146" s="225"/>
      <c r="K146" s="230">
        <v>70470</v>
      </c>
      <c r="L146" s="230">
        <v>70470</v>
      </c>
      <c r="M146" s="228"/>
      <c r="N146" s="228"/>
      <c r="O146" s="228" t="s">
        <v>1487</v>
      </c>
    </row>
    <row r="147" spans="1:15" hidden="1" x14ac:dyDescent="0.2">
      <c r="A147" s="227">
        <v>163</v>
      </c>
      <c r="B147" s="225"/>
      <c r="C147" s="228" t="s">
        <v>160</v>
      </c>
      <c r="D147" s="225" t="s">
        <v>27</v>
      </c>
      <c r="E147" s="225"/>
      <c r="F147" s="228"/>
      <c r="G147" s="228"/>
      <c r="H147" s="228"/>
      <c r="I147" s="228"/>
      <c r="J147" s="225"/>
      <c r="K147" s="230">
        <v>163500</v>
      </c>
      <c r="L147" s="230">
        <v>163500</v>
      </c>
      <c r="M147" s="228"/>
      <c r="N147" s="228"/>
      <c r="O147" s="228" t="s">
        <v>1487</v>
      </c>
    </row>
    <row r="148" spans="1:15" hidden="1" x14ac:dyDescent="0.2">
      <c r="A148" s="227">
        <v>164</v>
      </c>
      <c r="B148" s="225"/>
      <c r="C148" s="228" t="s">
        <v>150</v>
      </c>
      <c r="D148" s="225" t="s">
        <v>27</v>
      </c>
      <c r="E148" s="225"/>
      <c r="F148" s="228"/>
      <c r="G148" s="228"/>
      <c r="H148" s="228"/>
      <c r="I148" s="228"/>
      <c r="J148" s="225"/>
      <c r="K148" s="230">
        <v>289706.39</v>
      </c>
      <c r="L148" s="230">
        <v>289706.39</v>
      </c>
      <c r="M148" s="228"/>
      <c r="N148" s="228"/>
      <c r="O148" s="228" t="s">
        <v>1487</v>
      </c>
    </row>
    <row r="149" spans="1:15" ht="25.5" hidden="1" x14ac:dyDescent="0.2">
      <c r="A149" s="227">
        <v>165</v>
      </c>
      <c r="B149" s="225"/>
      <c r="C149" s="228" t="s">
        <v>174</v>
      </c>
      <c r="D149" s="225" t="s">
        <v>27</v>
      </c>
      <c r="E149" s="225"/>
      <c r="F149" s="228"/>
      <c r="G149" s="228"/>
      <c r="H149" s="228"/>
      <c r="I149" s="228"/>
      <c r="J149" s="225"/>
      <c r="K149" s="230">
        <v>536000</v>
      </c>
      <c r="L149" s="230">
        <v>536000</v>
      </c>
      <c r="M149" s="228"/>
      <c r="N149" s="228"/>
      <c r="O149" s="228" t="s">
        <v>1487</v>
      </c>
    </row>
    <row r="150" spans="1:15" ht="25.5" hidden="1" x14ac:dyDescent="0.2">
      <c r="A150" s="227">
        <v>166</v>
      </c>
      <c r="B150" s="225"/>
      <c r="C150" s="228" t="s">
        <v>177</v>
      </c>
      <c r="D150" s="225" t="s">
        <v>27</v>
      </c>
      <c r="E150" s="225"/>
      <c r="F150" s="228"/>
      <c r="G150" s="228"/>
      <c r="H150" s="228"/>
      <c r="I150" s="228"/>
      <c r="J150" s="225"/>
      <c r="K150" s="230">
        <v>192750</v>
      </c>
      <c r="L150" s="230">
        <v>192750</v>
      </c>
      <c r="M150" s="228"/>
      <c r="N150" s="228"/>
      <c r="O150" s="228" t="s">
        <v>1487</v>
      </c>
    </row>
    <row r="151" spans="1:15" hidden="1" x14ac:dyDescent="0.2">
      <c r="A151" s="227">
        <v>167</v>
      </c>
      <c r="B151" s="225"/>
      <c r="C151" s="228" t="s">
        <v>116</v>
      </c>
      <c r="D151" s="225" t="s">
        <v>27</v>
      </c>
      <c r="E151" s="225"/>
      <c r="F151" s="228"/>
      <c r="G151" s="228"/>
      <c r="H151" s="228"/>
      <c r="I151" s="228"/>
      <c r="J151" s="225"/>
      <c r="K151" s="230">
        <v>24000</v>
      </c>
      <c r="L151" s="230">
        <v>24000</v>
      </c>
      <c r="M151" s="228"/>
      <c r="N151" s="228"/>
      <c r="O151" s="228" t="s">
        <v>1487</v>
      </c>
    </row>
    <row r="152" spans="1:15" ht="25.5" hidden="1" x14ac:dyDescent="0.2">
      <c r="A152" s="227">
        <v>168</v>
      </c>
      <c r="B152" s="225"/>
      <c r="C152" s="228" t="s">
        <v>115</v>
      </c>
      <c r="D152" s="225" t="s">
        <v>27</v>
      </c>
      <c r="E152" s="225"/>
      <c r="F152" s="228"/>
      <c r="G152" s="228"/>
      <c r="H152" s="228"/>
      <c r="I152" s="228"/>
      <c r="J152" s="225"/>
      <c r="K152" s="230">
        <v>15750</v>
      </c>
      <c r="L152" s="230">
        <v>15750</v>
      </c>
      <c r="M152" s="228"/>
      <c r="N152" s="228"/>
      <c r="O152" s="228" t="s">
        <v>1487</v>
      </c>
    </row>
    <row r="153" spans="1:15" hidden="1" x14ac:dyDescent="0.2">
      <c r="A153" s="227">
        <v>169</v>
      </c>
      <c r="B153" s="225"/>
      <c r="C153" s="228" t="s">
        <v>191</v>
      </c>
      <c r="D153" s="225" t="s">
        <v>27</v>
      </c>
      <c r="E153" s="225"/>
      <c r="F153" s="228"/>
      <c r="G153" s="228"/>
      <c r="H153" s="228"/>
      <c r="I153" s="228"/>
      <c r="J153" s="225"/>
      <c r="K153" s="230">
        <v>204500</v>
      </c>
      <c r="L153" s="230">
        <v>204500</v>
      </c>
      <c r="M153" s="228"/>
      <c r="N153" s="228"/>
      <c r="O153" s="228" t="s">
        <v>1487</v>
      </c>
    </row>
    <row r="154" spans="1:15" ht="25.5" hidden="1" x14ac:dyDescent="0.2">
      <c r="A154" s="227">
        <v>170</v>
      </c>
      <c r="B154" s="225"/>
      <c r="C154" s="228" t="s">
        <v>100</v>
      </c>
      <c r="D154" s="225" t="s">
        <v>27</v>
      </c>
      <c r="E154" s="225"/>
      <c r="F154" s="228"/>
      <c r="G154" s="228"/>
      <c r="H154" s="228"/>
      <c r="I154" s="228"/>
      <c r="J154" s="225"/>
      <c r="K154" s="230">
        <v>51900</v>
      </c>
      <c r="L154" s="230">
        <v>51900</v>
      </c>
      <c r="M154" s="228"/>
      <c r="N154" s="228"/>
      <c r="O154" s="228" t="s">
        <v>1487</v>
      </c>
    </row>
    <row r="155" spans="1:15" ht="25.5" hidden="1" x14ac:dyDescent="0.2">
      <c r="A155" s="227">
        <v>171</v>
      </c>
      <c r="B155" s="225"/>
      <c r="C155" s="228" t="s">
        <v>109</v>
      </c>
      <c r="D155" s="225" t="s">
        <v>27</v>
      </c>
      <c r="E155" s="225"/>
      <c r="F155" s="228"/>
      <c r="G155" s="228"/>
      <c r="H155" s="228"/>
      <c r="I155" s="228"/>
      <c r="J155" s="225"/>
      <c r="K155" s="230">
        <v>44734</v>
      </c>
      <c r="L155" s="230">
        <v>44734</v>
      </c>
      <c r="M155" s="228"/>
      <c r="N155" s="228"/>
      <c r="O155" s="228" t="s">
        <v>1487</v>
      </c>
    </row>
    <row r="156" spans="1:15" ht="25.5" hidden="1" x14ac:dyDescent="0.2">
      <c r="A156" s="227">
        <v>172</v>
      </c>
      <c r="B156" s="225"/>
      <c r="C156" s="228" t="s">
        <v>105</v>
      </c>
      <c r="D156" s="225" t="s">
        <v>27</v>
      </c>
      <c r="E156" s="225"/>
      <c r="F156" s="228"/>
      <c r="G156" s="228"/>
      <c r="H156" s="228"/>
      <c r="I156" s="228"/>
      <c r="J156" s="225"/>
      <c r="K156" s="230">
        <v>44500</v>
      </c>
      <c r="L156" s="230">
        <v>44500</v>
      </c>
      <c r="M156" s="228"/>
      <c r="N156" s="228"/>
      <c r="O156" s="228" t="s">
        <v>1487</v>
      </c>
    </row>
    <row r="157" spans="1:15" ht="25.5" hidden="1" x14ac:dyDescent="0.2">
      <c r="A157" s="227">
        <v>173</v>
      </c>
      <c r="B157" s="225"/>
      <c r="C157" s="228" t="s">
        <v>185</v>
      </c>
      <c r="D157" s="225" t="s">
        <v>27</v>
      </c>
      <c r="E157" s="225"/>
      <c r="F157" s="228"/>
      <c r="G157" s="228"/>
      <c r="H157" s="228"/>
      <c r="I157" s="228"/>
      <c r="J157" s="225"/>
      <c r="K157" s="230">
        <v>700000</v>
      </c>
      <c r="L157" s="230">
        <v>700000</v>
      </c>
      <c r="M157" s="228"/>
      <c r="N157" s="228"/>
      <c r="O157" s="228" t="s">
        <v>1487</v>
      </c>
    </row>
    <row r="158" spans="1:15" ht="25.5" hidden="1" x14ac:dyDescent="0.2">
      <c r="A158" s="227">
        <v>174</v>
      </c>
      <c r="B158" s="225"/>
      <c r="C158" s="228" t="s">
        <v>103</v>
      </c>
      <c r="D158" s="225" t="s">
        <v>27</v>
      </c>
      <c r="E158" s="225"/>
      <c r="F158" s="228"/>
      <c r="G158" s="228"/>
      <c r="H158" s="228"/>
      <c r="I158" s="228"/>
      <c r="J158" s="225"/>
      <c r="K158" s="230">
        <v>48930</v>
      </c>
      <c r="L158" s="230">
        <v>48930</v>
      </c>
      <c r="M158" s="228"/>
      <c r="N158" s="228"/>
      <c r="O158" s="228" t="s">
        <v>1487</v>
      </c>
    </row>
    <row r="159" spans="1:15" hidden="1" x14ac:dyDescent="0.2">
      <c r="A159" s="227">
        <v>175</v>
      </c>
      <c r="B159" s="225"/>
      <c r="C159" s="228" t="s">
        <v>98</v>
      </c>
      <c r="D159" s="225" t="s">
        <v>27</v>
      </c>
      <c r="E159" s="225"/>
      <c r="F159" s="228"/>
      <c r="G159" s="228"/>
      <c r="H159" s="228"/>
      <c r="I159" s="228"/>
      <c r="J159" s="225"/>
      <c r="K159" s="230">
        <v>203140</v>
      </c>
      <c r="L159" s="230">
        <v>203140</v>
      </c>
      <c r="M159" s="228"/>
      <c r="N159" s="228"/>
      <c r="O159" s="228" t="s">
        <v>1487</v>
      </c>
    </row>
    <row r="160" spans="1:15" ht="38.25" hidden="1" x14ac:dyDescent="0.2">
      <c r="A160" s="227">
        <v>176</v>
      </c>
      <c r="B160" s="225"/>
      <c r="C160" s="228" t="s">
        <v>173</v>
      </c>
      <c r="D160" s="225" t="s">
        <v>27</v>
      </c>
      <c r="E160" s="225"/>
      <c r="F160" s="228"/>
      <c r="G160" s="228"/>
      <c r="H160" s="228"/>
      <c r="I160" s="228"/>
      <c r="J160" s="225"/>
      <c r="K160" s="230">
        <v>40500</v>
      </c>
      <c r="L160" s="230">
        <v>40500</v>
      </c>
      <c r="M160" s="228"/>
      <c r="N160" s="228"/>
      <c r="O160" s="228" t="s">
        <v>1487</v>
      </c>
    </row>
    <row r="161" spans="1:15" hidden="1" x14ac:dyDescent="0.2">
      <c r="A161" s="227">
        <v>177</v>
      </c>
      <c r="B161" s="225"/>
      <c r="C161" s="228" t="s">
        <v>99</v>
      </c>
      <c r="D161" s="225" t="s">
        <v>27</v>
      </c>
      <c r="E161" s="225"/>
      <c r="F161" s="228"/>
      <c r="G161" s="228"/>
      <c r="H161" s="228"/>
      <c r="I161" s="228"/>
      <c r="J161" s="225"/>
      <c r="K161" s="230">
        <v>88950</v>
      </c>
      <c r="L161" s="230">
        <v>88950</v>
      </c>
      <c r="M161" s="228"/>
      <c r="N161" s="228"/>
      <c r="O161" s="228" t="s">
        <v>1487</v>
      </c>
    </row>
    <row r="162" spans="1:15" ht="25.5" hidden="1" x14ac:dyDescent="0.2">
      <c r="A162" s="227">
        <v>178</v>
      </c>
      <c r="B162" s="225"/>
      <c r="C162" s="228" t="s">
        <v>36</v>
      </c>
      <c r="D162" s="225" t="s">
        <v>27</v>
      </c>
      <c r="E162" s="225"/>
      <c r="F162" s="228"/>
      <c r="G162" s="228"/>
      <c r="H162" s="228"/>
      <c r="I162" s="228"/>
      <c r="J162" s="225"/>
      <c r="K162" s="230">
        <v>315184</v>
      </c>
      <c r="L162" s="230">
        <v>315184</v>
      </c>
      <c r="M162" s="228"/>
      <c r="N162" s="228"/>
      <c r="O162" s="228" t="s">
        <v>1487</v>
      </c>
    </row>
    <row r="163" spans="1:15" ht="25.5" hidden="1" x14ac:dyDescent="0.2">
      <c r="A163" s="227">
        <v>179</v>
      </c>
      <c r="B163" s="225"/>
      <c r="C163" s="228" t="s">
        <v>46</v>
      </c>
      <c r="D163" s="225" t="s">
        <v>27</v>
      </c>
      <c r="E163" s="225"/>
      <c r="F163" s="228"/>
      <c r="G163" s="228"/>
      <c r="H163" s="228"/>
      <c r="I163" s="228"/>
      <c r="J163" s="225"/>
      <c r="K163" s="230">
        <v>126670</v>
      </c>
      <c r="L163" s="230">
        <v>126670</v>
      </c>
      <c r="M163" s="228"/>
      <c r="N163" s="228"/>
      <c r="O163" s="228" t="s">
        <v>1487</v>
      </c>
    </row>
    <row r="164" spans="1:15" hidden="1" x14ac:dyDescent="0.2">
      <c r="A164" s="227">
        <v>180</v>
      </c>
      <c r="B164" s="225"/>
      <c r="C164" s="228" t="s">
        <v>35</v>
      </c>
      <c r="D164" s="225" t="s">
        <v>27</v>
      </c>
      <c r="E164" s="225"/>
      <c r="F164" s="228"/>
      <c r="G164" s="228"/>
      <c r="H164" s="228"/>
      <c r="I164" s="228"/>
      <c r="J164" s="225"/>
      <c r="K164" s="230">
        <v>5624384</v>
      </c>
      <c r="L164" s="230">
        <v>5624384</v>
      </c>
      <c r="M164" s="228"/>
      <c r="N164" s="228"/>
      <c r="O164" s="228" t="s">
        <v>1487</v>
      </c>
    </row>
    <row r="165" spans="1:15" hidden="1" x14ac:dyDescent="0.2">
      <c r="A165" s="227">
        <v>181</v>
      </c>
      <c r="B165" s="225"/>
      <c r="C165" s="228" t="s">
        <v>43</v>
      </c>
      <c r="D165" s="225" t="s">
        <v>27</v>
      </c>
      <c r="E165" s="225"/>
      <c r="F165" s="228"/>
      <c r="G165" s="228"/>
      <c r="H165" s="228"/>
      <c r="I165" s="228"/>
      <c r="J165" s="225"/>
      <c r="K165" s="230">
        <v>112200</v>
      </c>
      <c r="L165" s="230">
        <v>112200</v>
      </c>
      <c r="M165" s="228"/>
      <c r="N165" s="228"/>
      <c r="O165" s="228" t="s">
        <v>1487</v>
      </c>
    </row>
    <row r="166" spans="1:15" hidden="1" x14ac:dyDescent="0.2">
      <c r="A166" s="227">
        <v>182</v>
      </c>
      <c r="B166" s="225"/>
      <c r="C166" s="228" t="s">
        <v>96</v>
      </c>
      <c r="D166" s="225" t="s">
        <v>27</v>
      </c>
      <c r="E166" s="225"/>
      <c r="F166" s="228"/>
      <c r="G166" s="228"/>
      <c r="H166" s="228"/>
      <c r="I166" s="228"/>
      <c r="J166" s="225"/>
      <c r="K166" s="230">
        <v>62080</v>
      </c>
      <c r="L166" s="230">
        <v>62080</v>
      </c>
      <c r="M166" s="228"/>
      <c r="N166" s="228"/>
      <c r="O166" s="228" t="s">
        <v>1487</v>
      </c>
    </row>
    <row r="167" spans="1:15" ht="25.5" hidden="1" x14ac:dyDescent="0.2">
      <c r="A167" s="227">
        <v>183</v>
      </c>
      <c r="B167" s="225"/>
      <c r="C167" s="228" t="s">
        <v>34</v>
      </c>
      <c r="D167" s="225" t="s">
        <v>27</v>
      </c>
      <c r="E167" s="225"/>
      <c r="F167" s="228"/>
      <c r="G167" s="228"/>
      <c r="H167" s="228"/>
      <c r="I167" s="228"/>
      <c r="J167" s="225"/>
      <c r="K167" s="230">
        <v>15000</v>
      </c>
      <c r="L167" s="230">
        <v>15000</v>
      </c>
      <c r="M167" s="228"/>
      <c r="N167" s="228"/>
      <c r="O167" s="228" t="s">
        <v>1487</v>
      </c>
    </row>
    <row r="168" spans="1:15" hidden="1" x14ac:dyDescent="0.2">
      <c r="A168" s="227">
        <v>184</v>
      </c>
      <c r="B168" s="225"/>
      <c r="C168" s="228" t="s">
        <v>134</v>
      </c>
      <c r="D168" s="225" t="s">
        <v>27</v>
      </c>
      <c r="E168" s="225"/>
      <c r="F168" s="228"/>
      <c r="G168" s="228"/>
      <c r="H168" s="228"/>
      <c r="I168" s="228"/>
      <c r="J168" s="225"/>
      <c r="K168" s="230">
        <v>628992</v>
      </c>
      <c r="L168" s="230">
        <v>628992</v>
      </c>
      <c r="M168" s="228"/>
      <c r="N168" s="228"/>
      <c r="O168" s="228" t="s">
        <v>1487</v>
      </c>
    </row>
    <row r="169" spans="1:15" ht="38.25" hidden="1" x14ac:dyDescent="0.2">
      <c r="A169" s="227">
        <v>185</v>
      </c>
      <c r="B169" s="225"/>
      <c r="C169" s="228" t="s">
        <v>183</v>
      </c>
      <c r="D169" s="225" t="s">
        <v>27</v>
      </c>
      <c r="E169" s="225"/>
      <c r="F169" s="228"/>
      <c r="G169" s="228"/>
      <c r="H169" s="228"/>
      <c r="I169" s="228"/>
      <c r="J169" s="225"/>
      <c r="K169" s="230">
        <v>1466400</v>
      </c>
      <c r="L169" s="230">
        <v>1466400</v>
      </c>
      <c r="M169" s="228"/>
      <c r="N169" s="228"/>
      <c r="O169" s="228" t="s">
        <v>1487</v>
      </c>
    </row>
    <row r="170" spans="1:15" ht="25.5" hidden="1" x14ac:dyDescent="0.2">
      <c r="A170" s="227">
        <v>186</v>
      </c>
      <c r="B170" s="225"/>
      <c r="C170" s="228" t="s">
        <v>38</v>
      </c>
      <c r="D170" s="225" t="s">
        <v>27</v>
      </c>
      <c r="E170" s="225"/>
      <c r="F170" s="228"/>
      <c r="G170" s="228"/>
      <c r="H170" s="228"/>
      <c r="I170" s="228"/>
      <c r="J170" s="225"/>
      <c r="K170" s="230">
        <v>23360</v>
      </c>
      <c r="L170" s="230">
        <v>23360</v>
      </c>
      <c r="M170" s="228"/>
      <c r="N170" s="228"/>
      <c r="O170" s="228" t="s">
        <v>1487</v>
      </c>
    </row>
    <row r="171" spans="1:15" ht="38.25" hidden="1" x14ac:dyDescent="0.2">
      <c r="A171" s="227">
        <v>187</v>
      </c>
      <c r="B171" s="225"/>
      <c r="C171" s="228" t="s">
        <v>42</v>
      </c>
      <c r="D171" s="225" t="s">
        <v>27</v>
      </c>
      <c r="E171" s="225"/>
      <c r="F171" s="228"/>
      <c r="G171" s="228"/>
      <c r="H171" s="228"/>
      <c r="I171" s="228"/>
      <c r="J171" s="225"/>
      <c r="K171" s="230">
        <v>618760</v>
      </c>
      <c r="L171" s="230">
        <v>618760</v>
      </c>
      <c r="M171" s="228"/>
      <c r="N171" s="228"/>
      <c r="O171" s="228" t="s">
        <v>1487</v>
      </c>
    </row>
    <row r="172" spans="1:15" hidden="1" x14ac:dyDescent="0.2">
      <c r="A172" s="227">
        <v>188</v>
      </c>
      <c r="B172" s="225"/>
      <c r="C172" s="228" t="s">
        <v>47</v>
      </c>
      <c r="D172" s="225" t="s">
        <v>27</v>
      </c>
      <c r="E172" s="225"/>
      <c r="F172" s="228"/>
      <c r="G172" s="228"/>
      <c r="H172" s="228"/>
      <c r="I172" s="228"/>
      <c r="J172" s="225"/>
      <c r="K172" s="230">
        <v>52320</v>
      </c>
      <c r="L172" s="230">
        <v>52320</v>
      </c>
      <c r="M172" s="228"/>
      <c r="N172" s="228"/>
      <c r="O172" s="228" t="s">
        <v>1487</v>
      </c>
    </row>
    <row r="173" spans="1:15" ht="25.5" hidden="1" x14ac:dyDescent="0.2">
      <c r="A173" s="227">
        <v>189</v>
      </c>
      <c r="B173" s="225"/>
      <c r="C173" s="228" t="s">
        <v>72</v>
      </c>
      <c r="D173" s="225" t="s">
        <v>27</v>
      </c>
      <c r="E173" s="225"/>
      <c r="F173" s="228"/>
      <c r="G173" s="228"/>
      <c r="H173" s="228"/>
      <c r="I173" s="228"/>
      <c r="J173" s="225"/>
      <c r="K173" s="230">
        <v>3756178.53</v>
      </c>
      <c r="L173" s="230">
        <v>3756178.53</v>
      </c>
      <c r="M173" s="228"/>
      <c r="N173" s="228"/>
      <c r="O173" s="228" t="s">
        <v>1487</v>
      </c>
    </row>
    <row r="174" spans="1:15" hidden="1" x14ac:dyDescent="0.2">
      <c r="A174" s="227">
        <v>190</v>
      </c>
      <c r="B174" s="225"/>
      <c r="C174" s="228" t="s">
        <v>1393</v>
      </c>
      <c r="D174" s="225" t="s">
        <v>27</v>
      </c>
      <c r="E174" s="225"/>
      <c r="F174" s="228"/>
      <c r="G174" s="228"/>
      <c r="H174" s="228"/>
      <c r="I174" s="228"/>
      <c r="J174" s="225"/>
      <c r="K174" s="230">
        <v>2500000</v>
      </c>
      <c r="L174" s="230">
        <v>2500000</v>
      </c>
      <c r="M174" s="228"/>
      <c r="N174" s="228"/>
      <c r="O174" s="228" t="s">
        <v>1487</v>
      </c>
    </row>
    <row r="175" spans="1:15" ht="42.75" x14ac:dyDescent="0.2">
      <c r="A175" s="227">
        <v>12</v>
      </c>
      <c r="B175" s="225" t="s">
        <v>192</v>
      </c>
      <c r="C175" s="228" t="s">
        <v>193</v>
      </c>
      <c r="D175" s="225" t="s">
        <v>26</v>
      </c>
      <c r="E175" s="225" t="s">
        <v>52</v>
      </c>
      <c r="F175" s="229" t="s">
        <v>1489</v>
      </c>
      <c r="G175" s="229" t="s">
        <v>1489</v>
      </c>
      <c r="H175" s="229" t="s">
        <v>1489</v>
      </c>
      <c r="I175" s="229" t="s">
        <v>1489</v>
      </c>
      <c r="J175" s="225" t="s">
        <v>1485</v>
      </c>
      <c r="K175" s="230">
        <v>592899.94999999995</v>
      </c>
      <c r="L175" s="230">
        <v>592899.94999999995</v>
      </c>
      <c r="M175" s="230">
        <v>0</v>
      </c>
      <c r="N175" s="230">
        <v>0</v>
      </c>
      <c r="O175" s="4" t="s">
        <v>1486</v>
      </c>
    </row>
    <row r="176" spans="1:15" hidden="1" x14ac:dyDescent="0.2">
      <c r="A176" s="227">
        <v>192</v>
      </c>
      <c r="B176" s="225"/>
      <c r="C176" s="228" t="s">
        <v>116</v>
      </c>
      <c r="D176" s="225" t="s">
        <v>27</v>
      </c>
      <c r="E176" s="225"/>
      <c r="F176" s="228"/>
      <c r="G176" s="228"/>
      <c r="H176" s="228"/>
      <c r="I176" s="228"/>
      <c r="J176" s="225"/>
      <c r="K176" s="230">
        <v>39999.96</v>
      </c>
      <c r="L176" s="230">
        <v>39999.96</v>
      </c>
      <c r="M176" s="228"/>
      <c r="N176" s="228"/>
      <c r="O176" s="228" t="s">
        <v>1487</v>
      </c>
    </row>
    <row r="177" spans="1:15" hidden="1" x14ac:dyDescent="0.2">
      <c r="A177" s="227">
        <v>193</v>
      </c>
      <c r="B177" s="225"/>
      <c r="C177" s="228" t="s">
        <v>95</v>
      </c>
      <c r="D177" s="225" t="s">
        <v>27</v>
      </c>
      <c r="E177" s="225"/>
      <c r="F177" s="228"/>
      <c r="G177" s="228"/>
      <c r="H177" s="228"/>
      <c r="I177" s="228"/>
      <c r="J177" s="225"/>
      <c r="K177" s="230">
        <v>46000</v>
      </c>
      <c r="L177" s="230">
        <v>46000</v>
      </c>
      <c r="M177" s="228"/>
      <c r="N177" s="228"/>
      <c r="O177" s="228" t="s">
        <v>1487</v>
      </c>
    </row>
    <row r="178" spans="1:15" ht="25.5" hidden="1" x14ac:dyDescent="0.2">
      <c r="A178" s="227">
        <v>194</v>
      </c>
      <c r="B178" s="225"/>
      <c r="C178" s="228" t="s">
        <v>72</v>
      </c>
      <c r="D178" s="225" t="s">
        <v>27</v>
      </c>
      <c r="E178" s="225"/>
      <c r="F178" s="228"/>
      <c r="G178" s="228"/>
      <c r="H178" s="228"/>
      <c r="I178" s="228"/>
      <c r="J178" s="225"/>
      <c r="K178" s="230">
        <v>199899.99</v>
      </c>
      <c r="L178" s="230">
        <v>199899.99</v>
      </c>
      <c r="M178" s="228"/>
      <c r="N178" s="228"/>
      <c r="O178" s="228" t="s">
        <v>1487</v>
      </c>
    </row>
    <row r="179" spans="1:15" hidden="1" x14ac:dyDescent="0.2">
      <c r="A179" s="227">
        <v>195</v>
      </c>
      <c r="B179" s="225"/>
      <c r="C179" s="228" t="s">
        <v>110</v>
      </c>
      <c r="D179" s="225" t="s">
        <v>27</v>
      </c>
      <c r="E179" s="225"/>
      <c r="F179" s="228"/>
      <c r="G179" s="228"/>
      <c r="H179" s="228"/>
      <c r="I179" s="228"/>
      <c r="J179" s="225"/>
      <c r="K179" s="230">
        <v>44000</v>
      </c>
      <c r="L179" s="230">
        <v>44000</v>
      </c>
      <c r="M179" s="228"/>
      <c r="N179" s="228"/>
      <c r="O179" s="228" t="s">
        <v>1487</v>
      </c>
    </row>
    <row r="180" spans="1:15" hidden="1" x14ac:dyDescent="0.2">
      <c r="A180" s="227">
        <v>196</v>
      </c>
      <c r="B180" s="225"/>
      <c r="C180" s="228" t="s">
        <v>98</v>
      </c>
      <c r="D180" s="225" t="s">
        <v>27</v>
      </c>
      <c r="E180" s="225"/>
      <c r="F180" s="228"/>
      <c r="G180" s="228"/>
      <c r="H180" s="228"/>
      <c r="I180" s="228"/>
      <c r="J180" s="225"/>
      <c r="K180" s="230">
        <v>140000</v>
      </c>
      <c r="L180" s="230">
        <v>140000</v>
      </c>
      <c r="M180" s="228"/>
      <c r="N180" s="228"/>
      <c r="O180" s="228" t="s">
        <v>1487</v>
      </c>
    </row>
    <row r="181" spans="1:15" hidden="1" x14ac:dyDescent="0.2">
      <c r="A181" s="227">
        <v>197</v>
      </c>
      <c r="B181" s="225"/>
      <c r="C181" s="228" t="s">
        <v>107</v>
      </c>
      <c r="D181" s="225" t="s">
        <v>27</v>
      </c>
      <c r="E181" s="225"/>
      <c r="F181" s="228"/>
      <c r="G181" s="228"/>
      <c r="H181" s="228"/>
      <c r="I181" s="228"/>
      <c r="J181" s="225"/>
      <c r="K181" s="230">
        <v>60000</v>
      </c>
      <c r="L181" s="230">
        <v>60000</v>
      </c>
      <c r="M181" s="228"/>
      <c r="N181" s="228"/>
      <c r="O181" s="228" t="s">
        <v>1487</v>
      </c>
    </row>
    <row r="182" spans="1:15" ht="25.5" hidden="1" x14ac:dyDescent="0.2">
      <c r="A182" s="227">
        <v>198</v>
      </c>
      <c r="B182" s="225"/>
      <c r="C182" s="228" t="s">
        <v>102</v>
      </c>
      <c r="D182" s="225" t="s">
        <v>27</v>
      </c>
      <c r="E182" s="225"/>
      <c r="F182" s="228"/>
      <c r="G182" s="228"/>
      <c r="H182" s="228"/>
      <c r="I182" s="228"/>
      <c r="J182" s="225"/>
      <c r="K182" s="230">
        <v>15000</v>
      </c>
      <c r="L182" s="230">
        <v>15000</v>
      </c>
      <c r="M182" s="228"/>
      <c r="N182" s="228"/>
      <c r="O182" s="228" t="s">
        <v>1487</v>
      </c>
    </row>
    <row r="183" spans="1:15" ht="25.5" hidden="1" x14ac:dyDescent="0.2">
      <c r="A183" s="227">
        <v>199</v>
      </c>
      <c r="B183" s="225"/>
      <c r="C183" s="228" t="s">
        <v>97</v>
      </c>
      <c r="D183" s="225" t="s">
        <v>27</v>
      </c>
      <c r="E183" s="225"/>
      <c r="F183" s="228"/>
      <c r="G183" s="228"/>
      <c r="H183" s="228"/>
      <c r="I183" s="228"/>
      <c r="J183" s="225"/>
      <c r="K183" s="230">
        <v>48000</v>
      </c>
      <c r="L183" s="230">
        <v>48000</v>
      </c>
      <c r="M183" s="228"/>
      <c r="N183" s="228"/>
      <c r="O183" s="228" t="s">
        <v>1487</v>
      </c>
    </row>
    <row r="184" spans="1:15" ht="42.75" x14ac:dyDescent="0.2">
      <c r="A184" s="227">
        <v>13</v>
      </c>
      <c r="B184" s="225" t="s">
        <v>194</v>
      </c>
      <c r="C184" s="228" t="s">
        <v>195</v>
      </c>
      <c r="D184" s="225" t="s">
        <v>26</v>
      </c>
      <c r="E184" s="225" t="s">
        <v>52</v>
      </c>
      <c r="F184" s="229" t="s">
        <v>1523</v>
      </c>
      <c r="G184" s="229" t="s">
        <v>1523</v>
      </c>
      <c r="H184" s="229" t="s">
        <v>1524</v>
      </c>
      <c r="I184" s="229" t="s">
        <v>1524</v>
      </c>
      <c r="J184" s="225" t="s">
        <v>1485</v>
      </c>
      <c r="K184" s="230">
        <v>4000</v>
      </c>
      <c r="L184" s="230">
        <v>4000</v>
      </c>
      <c r="M184" s="230">
        <v>0</v>
      </c>
      <c r="N184" s="230">
        <v>0</v>
      </c>
      <c r="O184" s="4" t="s">
        <v>1486</v>
      </c>
    </row>
    <row r="185" spans="1:15" ht="38.25" hidden="1" x14ac:dyDescent="0.2">
      <c r="A185" s="227">
        <v>201</v>
      </c>
      <c r="B185" s="225"/>
      <c r="C185" s="228" t="s">
        <v>106</v>
      </c>
      <c r="D185" s="225" t="s">
        <v>27</v>
      </c>
      <c r="E185" s="225"/>
      <c r="F185" s="228"/>
      <c r="G185" s="228"/>
      <c r="H185" s="228"/>
      <c r="I185" s="228"/>
      <c r="J185" s="225"/>
      <c r="K185" s="230">
        <v>4000</v>
      </c>
      <c r="L185" s="230">
        <v>4000</v>
      </c>
      <c r="M185" s="228"/>
      <c r="N185" s="228"/>
      <c r="O185" s="228" t="s">
        <v>1487</v>
      </c>
    </row>
    <row r="186" spans="1:15" ht="42.75" x14ac:dyDescent="0.2">
      <c r="A186" s="227">
        <v>14</v>
      </c>
      <c r="B186" s="225" t="s">
        <v>196</v>
      </c>
      <c r="C186" s="228" t="s">
        <v>197</v>
      </c>
      <c r="D186" s="225" t="s">
        <v>26</v>
      </c>
      <c r="E186" s="225" t="s">
        <v>52</v>
      </c>
      <c r="F186" s="229" t="s">
        <v>1525</v>
      </c>
      <c r="G186" s="229" t="s">
        <v>1525</v>
      </c>
      <c r="H186" s="229" t="s">
        <v>1521</v>
      </c>
      <c r="I186" s="229" t="s">
        <v>1521</v>
      </c>
      <c r="J186" s="225" t="s">
        <v>1485</v>
      </c>
      <c r="K186" s="230">
        <v>545000</v>
      </c>
      <c r="L186" s="230">
        <v>545000</v>
      </c>
      <c r="M186" s="230">
        <v>0</v>
      </c>
      <c r="N186" s="230">
        <v>0</v>
      </c>
      <c r="O186" s="4" t="s">
        <v>1486</v>
      </c>
    </row>
    <row r="187" spans="1:15" ht="25.5" hidden="1" x14ac:dyDescent="0.2">
      <c r="A187" s="227">
        <v>203</v>
      </c>
      <c r="B187" s="225"/>
      <c r="C187" s="228" t="s">
        <v>177</v>
      </c>
      <c r="D187" s="225" t="s">
        <v>27</v>
      </c>
      <c r="E187" s="225"/>
      <c r="F187" s="228"/>
      <c r="G187" s="228"/>
      <c r="H187" s="228"/>
      <c r="I187" s="228"/>
      <c r="J187" s="225"/>
      <c r="K187" s="230">
        <v>400000</v>
      </c>
      <c r="L187" s="230">
        <v>400000</v>
      </c>
      <c r="M187" s="228"/>
      <c r="N187" s="228"/>
      <c r="O187" s="228" t="s">
        <v>1487</v>
      </c>
    </row>
    <row r="188" spans="1:15" ht="25.5" hidden="1" x14ac:dyDescent="0.2">
      <c r="A188" s="227">
        <v>204</v>
      </c>
      <c r="B188" s="225"/>
      <c r="C188" s="228" t="s">
        <v>199</v>
      </c>
      <c r="D188" s="225" t="s">
        <v>27</v>
      </c>
      <c r="E188" s="225"/>
      <c r="F188" s="228"/>
      <c r="G188" s="228"/>
      <c r="H188" s="228"/>
      <c r="I188" s="228"/>
      <c r="J188" s="225"/>
      <c r="K188" s="230">
        <v>145000</v>
      </c>
      <c r="L188" s="230">
        <v>145000</v>
      </c>
      <c r="M188" s="228"/>
      <c r="N188" s="228"/>
      <c r="O188" s="228" t="s">
        <v>1487</v>
      </c>
    </row>
    <row r="189" spans="1:15" ht="42.75" x14ac:dyDescent="0.2">
      <c r="A189" s="227">
        <v>15</v>
      </c>
      <c r="B189" s="225" t="s">
        <v>200</v>
      </c>
      <c r="C189" s="228" t="s">
        <v>201</v>
      </c>
      <c r="D189" s="225" t="s">
        <v>26</v>
      </c>
      <c r="E189" s="225" t="s">
        <v>52</v>
      </c>
      <c r="F189" s="229" t="s">
        <v>1521</v>
      </c>
      <c r="G189" s="229" t="s">
        <v>1521</v>
      </c>
      <c r="H189" s="229" t="s">
        <v>1521</v>
      </c>
      <c r="I189" s="229" t="s">
        <v>1521</v>
      </c>
      <c r="J189" s="225" t="s">
        <v>1485</v>
      </c>
      <c r="K189" s="230">
        <v>40000</v>
      </c>
      <c r="L189" s="230">
        <v>40000</v>
      </c>
      <c r="M189" s="230">
        <v>0</v>
      </c>
      <c r="N189" s="230">
        <v>0</v>
      </c>
      <c r="O189" s="4" t="s">
        <v>1486</v>
      </c>
    </row>
    <row r="190" spans="1:15" hidden="1" x14ac:dyDescent="0.2">
      <c r="A190" s="227">
        <v>206</v>
      </c>
      <c r="B190" s="225"/>
      <c r="C190" s="228" t="s">
        <v>150</v>
      </c>
      <c r="D190" s="225" t="s">
        <v>27</v>
      </c>
      <c r="E190" s="225"/>
      <c r="F190" s="228"/>
      <c r="G190" s="228"/>
      <c r="H190" s="228"/>
      <c r="I190" s="228"/>
      <c r="J190" s="225"/>
      <c r="K190" s="230">
        <v>40000</v>
      </c>
      <c r="L190" s="230">
        <v>40000</v>
      </c>
      <c r="M190" s="228"/>
      <c r="N190" s="228"/>
      <c r="O190" s="228" t="s">
        <v>1487</v>
      </c>
    </row>
    <row r="191" spans="1:15" ht="42.75" x14ac:dyDescent="0.2">
      <c r="A191" s="227">
        <v>16</v>
      </c>
      <c r="B191" s="225" t="s">
        <v>202</v>
      </c>
      <c r="C191" s="228" t="s">
        <v>203</v>
      </c>
      <c r="D191" s="225" t="s">
        <v>26</v>
      </c>
      <c r="E191" s="225" t="s">
        <v>204</v>
      </c>
      <c r="F191" s="229" t="s">
        <v>1489</v>
      </c>
      <c r="G191" s="229" t="s">
        <v>1489</v>
      </c>
      <c r="H191" s="229" t="s">
        <v>1489</v>
      </c>
      <c r="I191" s="229" t="s">
        <v>1489</v>
      </c>
      <c r="J191" s="225" t="s">
        <v>1485</v>
      </c>
      <c r="K191" s="230">
        <v>5840000</v>
      </c>
      <c r="L191" s="230">
        <v>5840000</v>
      </c>
      <c r="M191" s="230">
        <v>0</v>
      </c>
      <c r="N191" s="230">
        <v>0</v>
      </c>
      <c r="O191" s="4" t="s">
        <v>1486</v>
      </c>
    </row>
    <row r="192" spans="1:15" ht="42.75" hidden="1" x14ac:dyDescent="0.2">
      <c r="A192" s="227">
        <v>208</v>
      </c>
      <c r="B192" s="225"/>
      <c r="C192" s="228" t="s">
        <v>205</v>
      </c>
      <c r="D192" s="225" t="s">
        <v>27</v>
      </c>
      <c r="E192" s="225"/>
      <c r="F192" s="229" t="s">
        <v>1489</v>
      </c>
      <c r="G192" s="229" t="s">
        <v>1489</v>
      </c>
      <c r="H192" s="229" t="s">
        <v>1489</v>
      </c>
      <c r="I192" s="229" t="s">
        <v>1489</v>
      </c>
      <c r="J192" s="225"/>
      <c r="K192" s="230">
        <v>2000000</v>
      </c>
      <c r="L192" s="230">
        <v>2000000</v>
      </c>
      <c r="M192" s="228"/>
      <c r="N192" s="228"/>
      <c r="O192" s="228" t="s">
        <v>1487</v>
      </c>
    </row>
    <row r="193" spans="1:15" ht="42.75" hidden="1" x14ac:dyDescent="0.2">
      <c r="A193" s="227">
        <v>209</v>
      </c>
      <c r="B193" s="225"/>
      <c r="C193" s="228" t="s">
        <v>206</v>
      </c>
      <c r="D193" s="225" t="s">
        <v>27</v>
      </c>
      <c r="E193" s="225"/>
      <c r="F193" s="229" t="s">
        <v>1489</v>
      </c>
      <c r="G193" s="229" t="s">
        <v>1489</v>
      </c>
      <c r="H193" s="229" t="s">
        <v>1489</v>
      </c>
      <c r="I193" s="229" t="s">
        <v>1489</v>
      </c>
      <c r="J193" s="225"/>
      <c r="K193" s="230">
        <v>3840000</v>
      </c>
      <c r="L193" s="230">
        <v>3840000</v>
      </c>
      <c r="M193" s="228"/>
      <c r="N193" s="228"/>
      <c r="O193" s="228" t="s">
        <v>1487</v>
      </c>
    </row>
    <row r="194" spans="1:15" ht="42.75" x14ac:dyDescent="0.2">
      <c r="A194" s="227">
        <v>17</v>
      </c>
      <c r="B194" s="225" t="s">
        <v>670</v>
      </c>
      <c r="C194" s="228" t="s">
        <v>671</v>
      </c>
      <c r="D194" s="225" t="s">
        <v>26</v>
      </c>
      <c r="E194" s="225" t="s">
        <v>210</v>
      </c>
      <c r="F194" s="229" t="s">
        <v>1489</v>
      </c>
      <c r="G194" s="229" t="s">
        <v>1489</v>
      </c>
      <c r="H194" s="229" t="s">
        <v>1489</v>
      </c>
      <c r="I194" s="229" t="s">
        <v>1489</v>
      </c>
      <c r="J194" s="225" t="s">
        <v>1485</v>
      </c>
      <c r="K194" s="230">
        <v>300000</v>
      </c>
      <c r="L194" s="230">
        <v>300000</v>
      </c>
      <c r="M194" s="230">
        <v>0</v>
      </c>
      <c r="N194" s="230">
        <v>0</v>
      </c>
      <c r="O194" s="4" t="s">
        <v>1486</v>
      </c>
    </row>
    <row r="195" spans="1:15" ht="42.75" hidden="1" x14ac:dyDescent="0.2">
      <c r="A195" s="227">
        <v>211</v>
      </c>
      <c r="B195" s="225"/>
      <c r="C195" s="228" t="s">
        <v>59</v>
      </c>
      <c r="D195" s="225" t="s">
        <v>27</v>
      </c>
      <c r="E195" s="225"/>
      <c r="F195" s="229" t="s">
        <v>1489</v>
      </c>
      <c r="G195" s="229" t="s">
        <v>1489</v>
      </c>
      <c r="H195" s="229" t="s">
        <v>1489</v>
      </c>
      <c r="I195" s="229" t="s">
        <v>1489</v>
      </c>
      <c r="J195" s="225"/>
      <c r="K195" s="230">
        <v>300000</v>
      </c>
      <c r="L195" s="230">
        <v>300000</v>
      </c>
      <c r="M195" s="228"/>
      <c r="N195" s="228"/>
      <c r="O195" s="228" t="s">
        <v>1487</v>
      </c>
    </row>
    <row r="196" spans="1:15" ht="42.75" x14ac:dyDescent="0.2">
      <c r="A196" s="227">
        <v>18</v>
      </c>
      <c r="B196" s="225" t="s">
        <v>208</v>
      </c>
      <c r="C196" s="228" t="s">
        <v>209</v>
      </c>
      <c r="D196" s="225" t="s">
        <v>26</v>
      </c>
      <c r="E196" s="225" t="s">
        <v>210</v>
      </c>
      <c r="F196" s="229" t="s">
        <v>1489</v>
      </c>
      <c r="G196" s="229" t="s">
        <v>1489</v>
      </c>
      <c r="H196" s="229" t="s">
        <v>1489</v>
      </c>
      <c r="I196" s="229" t="s">
        <v>1489</v>
      </c>
      <c r="J196" s="225" t="s">
        <v>1485</v>
      </c>
      <c r="K196" s="230">
        <v>798096</v>
      </c>
      <c r="L196" s="230">
        <v>798096</v>
      </c>
      <c r="M196" s="230">
        <v>0</v>
      </c>
      <c r="N196" s="230">
        <v>0</v>
      </c>
      <c r="O196" s="4" t="s">
        <v>1486</v>
      </c>
    </row>
    <row r="197" spans="1:15" ht="42.75" hidden="1" x14ac:dyDescent="0.2">
      <c r="A197" s="227">
        <v>213</v>
      </c>
      <c r="B197" s="225"/>
      <c r="C197" s="228" t="s">
        <v>211</v>
      </c>
      <c r="D197" s="225" t="s">
        <v>27</v>
      </c>
      <c r="E197" s="225"/>
      <c r="F197" s="229" t="s">
        <v>1489</v>
      </c>
      <c r="G197" s="229" t="s">
        <v>1489</v>
      </c>
      <c r="H197" s="229" t="s">
        <v>1489</v>
      </c>
      <c r="I197" s="229" t="s">
        <v>1489</v>
      </c>
      <c r="J197" s="225"/>
      <c r="K197" s="230">
        <v>498096</v>
      </c>
      <c r="L197" s="230">
        <v>498096</v>
      </c>
      <c r="M197" s="228"/>
      <c r="N197" s="228"/>
      <c r="O197" s="228" t="s">
        <v>1487</v>
      </c>
    </row>
    <row r="198" spans="1:15" ht="42.75" hidden="1" x14ac:dyDescent="0.2">
      <c r="A198" s="227">
        <v>214</v>
      </c>
      <c r="B198" s="225"/>
      <c r="C198" s="228" t="s">
        <v>81</v>
      </c>
      <c r="D198" s="225" t="s">
        <v>27</v>
      </c>
      <c r="E198" s="225"/>
      <c r="F198" s="229" t="s">
        <v>1489</v>
      </c>
      <c r="G198" s="229" t="s">
        <v>1489</v>
      </c>
      <c r="H198" s="229" t="s">
        <v>1489</v>
      </c>
      <c r="I198" s="229" t="s">
        <v>1489</v>
      </c>
      <c r="J198" s="225"/>
      <c r="K198" s="230">
        <v>300000</v>
      </c>
      <c r="L198" s="230">
        <v>300000</v>
      </c>
      <c r="M198" s="228"/>
      <c r="N198" s="228"/>
      <c r="O198" s="228" t="s">
        <v>1487</v>
      </c>
    </row>
    <row r="199" spans="1:15" ht="42.75" x14ac:dyDescent="0.2">
      <c r="A199" s="227">
        <v>19</v>
      </c>
      <c r="B199" s="225" t="s">
        <v>212</v>
      </c>
      <c r="C199" s="228" t="s">
        <v>213</v>
      </c>
      <c r="D199" s="225" t="s">
        <v>26</v>
      </c>
      <c r="E199" s="225" t="s">
        <v>204</v>
      </c>
      <c r="F199" s="229" t="s">
        <v>1489</v>
      </c>
      <c r="G199" s="229" t="s">
        <v>1489</v>
      </c>
      <c r="H199" s="229" t="s">
        <v>1489</v>
      </c>
      <c r="I199" s="229" t="s">
        <v>1489</v>
      </c>
      <c r="J199" s="225" t="s">
        <v>1485</v>
      </c>
      <c r="K199" s="230">
        <v>25810000</v>
      </c>
      <c r="L199" s="230">
        <v>25810000</v>
      </c>
      <c r="M199" s="230">
        <v>0</v>
      </c>
      <c r="N199" s="230">
        <v>0</v>
      </c>
      <c r="O199" s="4" t="s">
        <v>1486</v>
      </c>
    </row>
    <row r="200" spans="1:15" hidden="1" x14ac:dyDescent="0.2">
      <c r="A200" s="227">
        <v>216</v>
      </c>
      <c r="B200" s="225"/>
      <c r="C200" s="228" t="s">
        <v>96</v>
      </c>
      <c r="D200" s="225" t="s">
        <v>27</v>
      </c>
      <c r="E200" s="225"/>
      <c r="F200" s="228"/>
      <c r="G200" s="228"/>
      <c r="H200" s="228"/>
      <c r="I200" s="228"/>
      <c r="J200" s="225"/>
      <c r="K200" s="230">
        <v>130000</v>
      </c>
      <c r="L200" s="230">
        <v>130000</v>
      </c>
      <c r="M200" s="228"/>
      <c r="N200" s="228"/>
      <c r="O200" s="228" t="s">
        <v>1487</v>
      </c>
    </row>
    <row r="201" spans="1:15" hidden="1" x14ac:dyDescent="0.2">
      <c r="A201" s="227">
        <v>217</v>
      </c>
      <c r="B201" s="225"/>
      <c r="C201" s="228" t="s">
        <v>214</v>
      </c>
      <c r="D201" s="225" t="s">
        <v>27</v>
      </c>
      <c r="E201" s="225"/>
      <c r="F201" s="228"/>
      <c r="G201" s="228"/>
      <c r="H201" s="228"/>
      <c r="I201" s="228"/>
      <c r="J201" s="225"/>
      <c r="K201" s="230">
        <v>25680000</v>
      </c>
      <c r="L201" s="230">
        <v>25680000</v>
      </c>
      <c r="M201" s="228"/>
      <c r="N201" s="228"/>
      <c r="O201" s="228" t="s">
        <v>1487</v>
      </c>
    </row>
    <row r="202" spans="1:15" ht="42.75" x14ac:dyDescent="0.2">
      <c r="A202" s="227">
        <v>20</v>
      </c>
      <c r="B202" s="225" t="s">
        <v>216</v>
      </c>
      <c r="C202" s="228" t="s">
        <v>217</v>
      </c>
      <c r="D202" s="225" t="s">
        <v>26</v>
      </c>
      <c r="E202" s="225" t="s">
        <v>52</v>
      </c>
      <c r="F202" s="229" t="s">
        <v>1523</v>
      </c>
      <c r="G202" s="229" t="s">
        <v>1523</v>
      </c>
      <c r="H202" s="229" t="s">
        <v>1524</v>
      </c>
      <c r="I202" s="229" t="s">
        <v>1524</v>
      </c>
      <c r="J202" s="225" t="s">
        <v>1485</v>
      </c>
      <c r="K202" s="230">
        <v>1000000</v>
      </c>
      <c r="L202" s="230">
        <v>1000000</v>
      </c>
      <c r="M202" s="230">
        <v>0</v>
      </c>
      <c r="N202" s="230">
        <v>0</v>
      </c>
      <c r="O202" s="4" t="s">
        <v>1486</v>
      </c>
    </row>
    <row r="203" spans="1:15" ht="25.5" hidden="1" x14ac:dyDescent="0.2">
      <c r="A203" s="227">
        <v>219</v>
      </c>
      <c r="B203" s="225"/>
      <c r="C203" s="228" t="s">
        <v>218</v>
      </c>
      <c r="D203" s="225" t="s">
        <v>27</v>
      </c>
      <c r="E203" s="225"/>
      <c r="F203" s="228"/>
      <c r="G203" s="228"/>
      <c r="H203" s="228"/>
      <c r="I203" s="228"/>
      <c r="J203" s="225"/>
      <c r="K203" s="230">
        <v>1000000</v>
      </c>
      <c r="L203" s="230">
        <v>1000000</v>
      </c>
      <c r="M203" s="228"/>
      <c r="N203" s="228"/>
      <c r="O203" s="228" t="s">
        <v>1487</v>
      </c>
    </row>
    <row r="204" spans="1:15" ht="42.75" x14ac:dyDescent="0.2">
      <c r="A204" s="227">
        <v>21</v>
      </c>
      <c r="B204" s="225" t="s">
        <v>219</v>
      </c>
      <c r="C204" s="228" t="s">
        <v>220</v>
      </c>
      <c r="D204" s="225" t="s">
        <v>26</v>
      </c>
      <c r="E204" s="225" t="s">
        <v>52</v>
      </c>
      <c r="F204" s="229" t="s">
        <v>1520</v>
      </c>
      <c r="G204" s="229" t="s">
        <v>1520</v>
      </c>
      <c r="H204" s="229" t="s">
        <v>1489</v>
      </c>
      <c r="I204" s="229" t="s">
        <v>1489</v>
      </c>
      <c r="J204" s="225" t="s">
        <v>1485</v>
      </c>
      <c r="K204" s="230">
        <v>13031450</v>
      </c>
      <c r="L204" s="230">
        <v>13031450</v>
      </c>
      <c r="M204" s="230">
        <v>0</v>
      </c>
      <c r="N204" s="230">
        <v>0</v>
      </c>
      <c r="O204" s="4" t="s">
        <v>1486</v>
      </c>
    </row>
    <row r="205" spans="1:15" ht="42.75" hidden="1" x14ac:dyDescent="0.2">
      <c r="A205" s="227">
        <v>221</v>
      </c>
      <c r="B205" s="225"/>
      <c r="C205" s="228" t="s">
        <v>221</v>
      </c>
      <c r="D205" s="225" t="s">
        <v>27</v>
      </c>
      <c r="E205" s="225"/>
      <c r="F205" s="229" t="s">
        <v>1489</v>
      </c>
      <c r="G205" s="229" t="s">
        <v>1489</v>
      </c>
      <c r="H205" s="229" t="s">
        <v>1489</v>
      </c>
      <c r="I205" s="229" t="s">
        <v>1489</v>
      </c>
      <c r="J205" s="225"/>
      <c r="K205" s="230">
        <v>13031450</v>
      </c>
      <c r="L205" s="230">
        <v>13031450</v>
      </c>
      <c r="M205" s="228"/>
      <c r="N205" s="228"/>
      <c r="O205" s="228" t="s">
        <v>1487</v>
      </c>
    </row>
    <row r="206" spans="1:15" ht="42.75" x14ac:dyDescent="0.2">
      <c r="A206" s="227">
        <v>22</v>
      </c>
      <c r="B206" s="225" t="s">
        <v>222</v>
      </c>
      <c r="C206" s="228" t="s">
        <v>223</v>
      </c>
      <c r="D206" s="225" t="s">
        <v>26</v>
      </c>
      <c r="E206" s="225" t="s">
        <v>52</v>
      </c>
      <c r="F206" s="229" t="s">
        <v>1489</v>
      </c>
      <c r="G206" s="229" t="s">
        <v>1489</v>
      </c>
      <c r="H206" s="229" t="s">
        <v>1489</v>
      </c>
      <c r="I206" s="229" t="s">
        <v>1489</v>
      </c>
      <c r="J206" s="225" t="s">
        <v>1485</v>
      </c>
      <c r="K206" s="230">
        <v>63748204.909999996</v>
      </c>
      <c r="L206" s="230">
        <v>63748204.909999996</v>
      </c>
      <c r="M206" s="230">
        <v>0</v>
      </c>
      <c r="N206" s="230">
        <v>0</v>
      </c>
      <c r="O206" s="4" t="s">
        <v>1486</v>
      </c>
    </row>
    <row r="207" spans="1:15" ht="42.75" hidden="1" x14ac:dyDescent="0.2">
      <c r="A207" s="227">
        <v>223</v>
      </c>
      <c r="B207" s="225"/>
      <c r="C207" s="228" t="s">
        <v>42</v>
      </c>
      <c r="D207" s="225" t="s">
        <v>27</v>
      </c>
      <c r="E207" s="225"/>
      <c r="F207" s="229" t="s">
        <v>1489</v>
      </c>
      <c r="G207" s="229" t="s">
        <v>1489</v>
      </c>
      <c r="H207" s="229" t="s">
        <v>1489</v>
      </c>
      <c r="I207" s="229" t="s">
        <v>1489</v>
      </c>
      <c r="J207" s="225"/>
      <c r="K207" s="230">
        <v>1046100</v>
      </c>
      <c r="L207" s="230">
        <v>1046100</v>
      </c>
      <c r="M207" s="228"/>
      <c r="N207" s="228"/>
      <c r="O207" s="228" t="s">
        <v>1487</v>
      </c>
    </row>
    <row r="208" spans="1:15" ht="42.75" hidden="1" x14ac:dyDescent="0.2">
      <c r="A208" s="227">
        <v>224</v>
      </c>
      <c r="B208" s="225"/>
      <c r="C208" s="228" t="s">
        <v>1526</v>
      </c>
      <c r="D208" s="225" t="s">
        <v>27</v>
      </c>
      <c r="E208" s="225"/>
      <c r="F208" s="229" t="s">
        <v>1489</v>
      </c>
      <c r="G208" s="229" t="s">
        <v>1489</v>
      </c>
      <c r="H208" s="229" t="s">
        <v>1489</v>
      </c>
      <c r="I208" s="229" t="s">
        <v>1489</v>
      </c>
      <c r="J208" s="225"/>
      <c r="K208" s="230">
        <v>94920</v>
      </c>
      <c r="L208" s="230">
        <v>94920</v>
      </c>
      <c r="M208" s="228"/>
      <c r="N208" s="228"/>
      <c r="O208" s="228" t="s">
        <v>1487</v>
      </c>
    </row>
    <row r="209" spans="1:15" ht="42.75" hidden="1" x14ac:dyDescent="0.2">
      <c r="A209" s="227">
        <v>225</v>
      </c>
      <c r="B209" s="225"/>
      <c r="C209" s="228" t="s">
        <v>227</v>
      </c>
      <c r="D209" s="225" t="s">
        <v>27</v>
      </c>
      <c r="E209" s="225"/>
      <c r="F209" s="229" t="s">
        <v>1489</v>
      </c>
      <c r="G209" s="229" t="s">
        <v>1489</v>
      </c>
      <c r="H209" s="229" t="s">
        <v>1489</v>
      </c>
      <c r="I209" s="229" t="s">
        <v>1489</v>
      </c>
      <c r="J209" s="225"/>
      <c r="K209" s="230">
        <v>300000</v>
      </c>
      <c r="L209" s="230">
        <v>300000</v>
      </c>
      <c r="M209" s="228"/>
      <c r="N209" s="228"/>
      <c r="O209" s="228" t="s">
        <v>1487</v>
      </c>
    </row>
    <row r="210" spans="1:15" ht="42.75" hidden="1" x14ac:dyDescent="0.2">
      <c r="A210" s="227">
        <v>226</v>
      </c>
      <c r="B210" s="225"/>
      <c r="C210" s="228" t="s">
        <v>185</v>
      </c>
      <c r="D210" s="225" t="s">
        <v>27</v>
      </c>
      <c r="E210" s="225"/>
      <c r="F210" s="229" t="s">
        <v>1489</v>
      </c>
      <c r="G210" s="229" t="s">
        <v>1489</v>
      </c>
      <c r="H210" s="229" t="s">
        <v>1489</v>
      </c>
      <c r="I210" s="229" t="s">
        <v>1489</v>
      </c>
      <c r="J210" s="225"/>
      <c r="K210" s="230">
        <v>648800</v>
      </c>
      <c r="L210" s="230">
        <v>648800</v>
      </c>
      <c r="M210" s="228"/>
      <c r="N210" s="228"/>
      <c r="O210" s="228" t="s">
        <v>1487</v>
      </c>
    </row>
    <row r="211" spans="1:15" ht="42.75" hidden="1" x14ac:dyDescent="0.2">
      <c r="A211" s="227">
        <v>227</v>
      </c>
      <c r="B211" s="225"/>
      <c r="C211" s="228" t="s">
        <v>105</v>
      </c>
      <c r="D211" s="225" t="s">
        <v>27</v>
      </c>
      <c r="E211" s="225"/>
      <c r="F211" s="229" t="s">
        <v>1489</v>
      </c>
      <c r="G211" s="229" t="s">
        <v>1489</v>
      </c>
      <c r="H211" s="229" t="s">
        <v>1489</v>
      </c>
      <c r="I211" s="229" t="s">
        <v>1489</v>
      </c>
      <c r="J211" s="225"/>
      <c r="K211" s="230">
        <v>300000</v>
      </c>
      <c r="L211" s="230">
        <v>300000</v>
      </c>
      <c r="M211" s="228"/>
      <c r="N211" s="228"/>
      <c r="O211" s="228" t="s">
        <v>1487</v>
      </c>
    </row>
    <row r="212" spans="1:15" ht="42.75" hidden="1" x14ac:dyDescent="0.2">
      <c r="A212" s="227">
        <v>228</v>
      </c>
      <c r="B212" s="225"/>
      <c r="C212" s="228" t="s">
        <v>233</v>
      </c>
      <c r="D212" s="225" t="s">
        <v>27</v>
      </c>
      <c r="E212" s="225"/>
      <c r="F212" s="229" t="s">
        <v>1489</v>
      </c>
      <c r="G212" s="229" t="s">
        <v>1489</v>
      </c>
      <c r="H212" s="229" t="s">
        <v>1489</v>
      </c>
      <c r="I212" s="229" t="s">
        <v>1489</v>
      </c>
      <c r="J212" s="225"/>
      <c r="K212" s="230">
        <v>798000</v>
      </c>
      <c r="L212" s="230">
        <v>798000</v>
      </c>
      <c r="M212" s="228"/>
      <c r="N212" s="228"/>
      <c r="O212" s="228" t="s">
        <v>1487</v>
      </c>
    </row>
    <row r="213" spans="1:15" ht="42.75" hidden="1" x14ac:dyDescent="0.2">
      <c r="A213" s="227">
        <v>229</v>
      </c>
      <c r="B213" s="225"/>
      <c r="C213" s="228" t="s">
        <v>236</v>
      </c>
      <c r="D213" s="225" t="s">
        <v>27</v>
      </c>
      <c r="E213" s="225"/>
      <c r="F213" s="229" t="s">
        <v>1489</v>
      </c>
      <c r="G213" s="229" t="s">
        <v>1489</v>
      </c>
      <c r="H213" s="229" t="s">
        <v>1489</v>
      </c>
      <c r="I213" s="229" t="s">
        <v>1489</v>
      </c>
      <c r="J213" s="225"/>
      <c r="K213" s="230">
        <v>150000</v>
      </c>
      <c r="L213" s="230">
        <v>150000</v>
      </c>
      <c r="M213" s="228"/>
      <c r="N213" s="228"/>
      <c r="O213" s="228" t="s">
        <v>1487</v>
      </c>
    </row>
    <row r="214" spans="1:15" ht="42.75" hidden="1" x14ac:dyDescent="0.2">
      <c r="A214" s="227">
        <v>230</v>
      </c>
      <c r="B214" s="225"/>
      <c r="C214" s="228" t="s">
        <v>106</v>
      </c>
      <c r="D214" s="225" t="s">
        <v>27</v>
      </c>
      <c r="E214" s="225"/>
      <c r="F214" s="229" t="s">
        <v>1489</v>
      </c>
      <c r="G214" s="229" t="s">
        <v>1489</v>
      </c>
      <c r="H214" s="229" t="s">
        <v>1489</v>
      </c>
      <c r="I214" s="229" t="s">
        <v>1489</v>
      </c>
      <c r="J214" s="225"/>
      <c r="K214" s="230">
        <v>626280</v>
      </c>
      <c r="L214" s="230">
        <v>626280</v>
      </c>
      <c r="M214" s="228"/>
      <c r="N214" s="228"/>
      <c r="O214" s="228" t="s">
        <v>1487</v>
      </c>
    </row>
    <row r="215" spans="1:15" ht="42.75" hidden="1" x14ac:dyDescent="0.2">
      <c r="A215" s="227">
        <v>231</v>
      </c>
      <c r="B215" s="225"/>
      <c r="C215" s="228" t="s">
        <v>94</v>
      </c>
      <c r="D215" s="225" t="s">
        <v>27</v>
      </c>
      <c r="E215" s="225"/>
      <c r="F215" s="229" t="s">
        <v>1489</v>
      </c>
      <c r="G215" s="229" t="s">
        <v>1489</v>
      </c>
      <c r="H215" s="229" t="s">
        <v>1489</v>
      </c>
      <c r="I215" s="229" t="s">
        <v>1489</v>
      </c>
      <c r="J215" s="225"/>
      <c r="K215" s="230">
        <v>1332000</v>
      </c>
      <c r="L215" s="230">
        <v>1332000</v>
      </c>
      <c r="M215" s="228"/>
      <c r="N215" s="228"/>
      <c r="O215" s="228" t="s">
        <v>1487</v>
      </c>
    </row>
    <row r="216" spans="1:15" ht="42.75" hidden="1" x14ac:dyDescent="0.2">
      <c r="A216" s="227">
        <v>232</v>
      </c>
      <c r="B216" s="225"/>
      <c r="C216" s="228" t="s">
        <v>109</v>
      </c>
      <c r="D216" s="225" t="s">
        <v>27</v>
      </c>
      <c r="E216" s="225"/>
      <c r="F216" s="229" t="s">
        <v>1489</v>
      </c>
      <c r="G216" s="229" t="s">
        <v>1489</v>
      </c>
      <c r="H216" s="229" t="s">
        <v>1489</v>
      </c>
      <c r="I216" s="229" t="s">
        <v>1489</v>
      </c>
      <c r="J216" s="225"/>
      <c r="K216" s="230">
        <v>88200</v>
      </c>
      <c r="L216" s="230">
        <v>88200</v>
      </c>
      <c r="M216" s="228"/>
      <c r="N216" s="228"/>
      <c r="O216" s="228" t="s">
        <v>1487</v>
      </c>
    </row>
    <row r="217" spans="1:15" ht="42.75" hidden="1" x14ac:dyDescent="0.2">
      <c r="A217" s="227">
        <v>233</v>
      </c>
      <c r="B217" s="225"/>
      <c r="C217" s="228" t="s">
        <v>100</v>
      </c>
      <c r="D217" s="225" t="s">
        <v>27</v>
      </c>
      <c r="E217" s="225"/>
      <c r="F217" s="229" t="s">
        <v>1489</v>
      </c>
      <c r="G217" s="229" t="s">
        <v>1489</v>
      </c>
      <c r="H217" s="229" t="s">
        <v>1489</v>
      </c>
      <c r="I217" s="229" t="s">
        <v>1489</v>
      </c>
      <c r="J217" s="225"/>
      <c r="K217" s="230">
        <v>120960</v>
      </c>
      <c r="L217" s="230">
        <v>120960</v>
      </c>
      <c r="M217" s="228"/>
      <c r="N217" s="228"/>
      <c r="O217" s="228" t="s">
        <v>1487</v>
      </c>
    </row>
    <row r="218" spans="1:15" ht="42.75" hidden="1" x14ac:dyDescent="0.2">
      <c r="A218" s="227">
        <v>234</v>
      </c>
      <c r="B218" s="225"/>
      <c r="C218" s="228" t="s">
        <v>33</v>
      </c>
      <c r="D218" s="225" t="s">
        <v>27</v>
      </c>
      <c r="E218" s="225"/>
      <c r="F218" s="229" t="s">
        <v>1489</v>
      </c>
      <c r="G218" s="229" t="s">
        <v>1489</v>
      </c>
      <c r="H218" s="229" t="s">
        <v>1489</v>
      </c>
      <c r="I218" s="229" t="s">
        <v>1489</v>
      </c>
      <c r="J218" s="225"/>
      <c r="K218" s="230">
        <v>1828179.99</v>
      </c>
      <c r="L218" s="230">
        <v>1828179.99</v>
      </c>
      <c r="M218" s="228"/>
      <c r="N218" s="228"/>
      <c r="O218" s="228" t="s">
        <v>1487</v>
      </c>
    </row>
    <row r="219" spans="1:15" ht="42.75" hidden="1" x14ac:dyDescent="0.2">
      <c r="A219" s="227">
        <v>235</v>
      </c>
      <c r="B219" s="225"/>
      <c r="C219" s="228" t="s">
        <v>191</v>
      </c>
      <c r="D219" s="225" t="s">
        <v>27</v>
      </c>
      <c r="E219" s="225"/>
      <c r="F219" s="229" t="s">
        <v>1489</v>
      </c>
      <c r="G219" s="229" t="s">
        <v>1489</v>
      </c>
      <c r="H219" s="229" t="s">
        <v>1489</v>
      </c>
      <c r="I219" s="229" t="s">
        <v>1489</v>
      </c>
      <c r="J219" s="225"/>
      <c r="K219" s="230">
        <v>1795500</v>
      </c>
      <c r="L219" s="230">
        <v>1795500</v>
      </c>
      <c r="M219" s="228"/>
      <c r="N219" s="228"/>
      <c r="O219" s="228" t="s">
        <v>1487</v>
      </c>
    </row>
    <row r="220" spans="1:15" ht="42.75" hidden="1" x14ac:dyDescent="0.2">
      <c r="A220" s="227">
        <v>236</v>
      </c>
      <c r="B220" s="225"/>
      <c r="C220" s="228" t="s">
        <v>47</v>
      </c>
      <c r="D220" s="225" t="s">
        <v>27</v>
      </c>
      <c r="E220" s="225"/>
      <c r="F220" s="229" t="s">
        <v>1489</v>
      </c>
      <c r="G220" s="229" t="s">
        <v>1489</v>
      </c>
      <c r="H220" s="229" t="s">
        <v>1489</v>
      </c>
      <c r="I220" s="229" t="s">
        <v>1489</v>
      </c>
      <c r="J220" s="225"/>
      <c r="K220" s="230">
        <v>336000</v>
      </c>
      <c r="L220" s="230">
        <v>336000</v>
      </c>
      <c r="M220" s="228"/>
      <c r="N220" s="228"/>
      <c r="O220" s="228" t="s">
        <v>1487</v>
      </c>
    </row>
    <row r="221" spans="1:15" ht="42.75" hidden="1" x14ac:dyDescent="0.2">
      <c r="A221" s="227">
        <v>237</v>
      </c>
      <c r="B221" s="225"/>
      <c r="C221" s="228" t="s">
        <v>115</v>
      </c>
      <c r="D221" s="225" t="s">
        <v>27</v>
      </c>
      <c r="E221" s="225"/>
      <c r="F221" s="229" t="s">
        <v>1489</v>
      </c>
      <c r="G221" s="229" t="s">
        <v>1489</v>
      </c>
      <c r="H221" s="229" t="s">
        <v>1489</v>
      </c>
      <c r="I221" s="229" t="s">
        <v>1489</v>
      </c>
      <c r="J221" s="225"/>
      <c r="K221" s="230">
        <v>148720</v>
      </c>
      <c r="L221" s="230">
        <v>148720</v>
      </c>
      <c r="M221" s="228"/>
      <c r="N221" s="228"/>
      <c r="O221" s="228" t="s">
        <v>1487</v>
      </c>
    </row>
    <row r="222" spans="1:15" ht="42.75" hidden="1" x14ac:dyDescent="0.2">
      <c r="A222" s="227">
        <v>238</v>
      </c>
      <c r="B222" s="225"/>
      <c r="C222" s="228" t="s">
        <v>186</v>
      </c>
      <c r="D222" s="225" t="s">
        <v>27</v>
      </c>
      <c r="E222" s="225"/>
      <c r="F222" s="229" t="s">
        <v>1489</v>
      </c>
      <c r="G222" s="229" t="s">
        <v>1489</v>
      </c>
      <c r="H222" s="229" t="s">
        <v>1489</v>
      </c>
      <c r="I222" s="229" t="s">
        <v>1489</v>
      </c>
      <c r="J222" s="225"/>
      <c r="K222" s="230">
        <v>144000</v>
      </c>
      <c r="L222" s="230">
        <v>144000</v>
      </c>
      <c r="M222" s="228"/>
      <c r="N222" s="228"/>
      <c r="O222" s="228" t="s">
        <v>1487</v>
      </c>
    </row>
    <row r="223" spans="1:15" ht="42.75" hidden="1" x14ac:dyDescent="0.2">
      <c r="A223" s="227">
        <v>239</v>
      </c>
      <c r="B223" s="225"/>
      <c r="C223" s="228" t="s">
        <v>116</v>
      </c>
      <c r="D223" s="225" t="s">
        <v>27</v>
      </c>
      <c r="E223" s="225"/>
      <c r="F223" s="229" t="s">
        <v>1489</v>
      </c>
      <c r="G223" s="229" t="s">
        <v>1489</v>
      </c>
      <c r="H223" s="229" t="s">
        <v>1489</v>
      </c>
      <c r="I223" s="229" t="s">
        <v>1489</v>
      </c>
      <c r="J223" s="225"/>
      <c r="K223" s="230">
        <v>148999.92000000001</v>
      </c>
      <c r="L223" s="230">
        <v>148999.92000000001</v>
      </c>
      <c r="M223" s="228"/>
      <c r="N223" s="228"/>
      <c r="O223" s="228" t="s">
        <v>1487</v>
      </c>
    </row>
    <row r="224" spans="1:15" ht="42.75" hidden="1" x14ac:dyDescent="0.2">
      <c r="A224" s="227">
        <v>240</v>
      </c>
      <c r="B224" s="225"/>
      <c r="C224" s="228" t="s">
        <v>108</v>
      </c>
      <c r="D224" s="225" t="s">
        <v>27</v>
      </c>
      <c r="E224" s="225"/>
      <c r="F224" s="229" t="s">
        <v>1489</v>
      </c>
      <c r="G224" s="229" t="s">
        <v>1489</v>
      </c>
      <c r="H224" s="229" t="s">
        <v>1489</v>
      </c>
      <c r="I224" s="229" t="s">
        <v>1489</v>
      </c>
      <c r="J224" s="225"/>
      <c r="K224" s="230">
        <v>283500</v>
      </c>
      <c r="L224" s="230">
        <v>283500</v>
      </c>
      <c r="M224" s="228"/>
      <c r="N224" s="228"/>
      <c r="O224" s="228" t="s">
        <v>1487</v>
      </c>
    </row>
    <row r="225" spans="1:15" ht="42.75" hidden="1" x14ac:dyDescent="0.2">
      <c r="A225" s="227">
        <v>241</v>
      </c>
      <c r="B225" s="225"/>
      <c r="C225" s="228" t="s">
        <v>165</v>
      </c>
      <c r="D225" s="225" t="s">
        <v>27</v>
      </c>
      <c r="E225" s="225"/>
      <c r="F225" s="229" t="s">
        <v>1489</v>
      </c>
      <c r="G225" s="229" t="s">
        <v>1489</v>
      </c>
      <c r="H225" s="229" t="s">
        <v>1489</v>
      </c>
      <c r="I225" s="229" t="s">
        <v>1489</v>
      </c>
      <c r="J225" s="225"/>
      <c r="K225" s="230">
        <v>489000</v>
      </c>
      <c r="L225" s="230">
        <v>489000</v>
      </c>
      <c r="M225" s="228"/>
      <c r="N225" s="228"/>
      <c r="O225" s="228" t="s">
        <v>1487</v>
      </c>
    </row>
    <row r="226" spans="1:15" ht="42.75" hidden="1" x14ac:dyDescent="0.2">
      <c r="A226" s="227">
        <v>242</v>
      </c>
      <c r="B226" s="225"/>
      <c r="C226" s="228" t="s">
        <v>177</v>
      </c>
      <c r="D226" s="225" t="s">
        <v>27</v>
      </c>
      <c r="E226" s="225"/>
      <c r="F226" s="229" t="s">
        <v>1489</v>
      </c>
      <c r="G226" s="229" t="s">
        <v>1489</v>
      </c>
      <c r="H226" s="229" t="s">
        <v>1489</v>
      </c>
      <c r="I226" s="229" t="s">
        <v>1489</v>
      </c>
      <c r="J226" s="225"/>
      <c r="K226" s="230">
        <v>265250</v>
      </c>
      <c r="L226" s="230">
        <v>265250</v>
      </c>
      <c r="M226" s="228"/>
      <c r="N226" s="228"/>
      <c r="O226" s="228" t="s">
        <v>1487</v>
      </c>
    </row>
    <row r="227" spans="1:15" ht="42.75" hidden="1" x14ac:dyDescent="0.2">
      <c r="A227" s="227">
        <v>243</v>
      </c>
      <c r="B227" s="225"/>
      <c r="C227" s="228" t="s">
        <v>72</v>
      </c>
      <c r="D227" s="225" t="s">
        <v>27</v>
      </c>
      <c r="E227" s="225"/>
      <c r="F227" s="229" t="s">
        <v>1489</v>
      </c>
      <c r="G227" s="229" t="s">
        <v>1489</v>
      </c>
      <c r="H227" s="229" t="s">
        <v>1489</v>
      </c>
      <c r="I227" s="229" t="s">
        <v>1489</v>
      </c>
      <c r="J227" s="225"/>
      <c r="K227" s="230">
        <v>15727815</v>
      </c>
      <c r="L227" s="230">
        <v>15727815</v>
      </c>
      <c r="M227" s="228"/>
      <c r="N227" s="228"/>
      <c r="O227" s="228" t="s">
        <v>1487</v>
      </c>
    </row>
    <row r="228" spans="1:15" ht="42.75" hidden="1" x14ac:dyDescent="0.2">
      <c r="A228" s="227">
        <v>244</v>
      </c>
      <c r="B228" s="225"/>
      <c r="C228" s="228" t="s">
        <v>82</v>
      </c>
      <c r="D228" s="225" t="s">
        <v>27</v>
      </c>
      <c r="E228" s="225"/>
      <c r="F228" s="229" t="s">
        <v>1489</v>
      </c>
      <c r="G228" s="229" t="s">
        <v>1489</v>
      </c>
      <c r="H228" s="229" t="s">
        <v>1489</v>
      </c>
      <c r="I228" s="229" t="s">
        <v>1489</v>
      </c>
      <c r="J228" s="225"/>
      <c r="K228" s="230">
        <v>240000</v>
      </c>
      <c r="L228" s="230">
        <v>240000</v>
      </c>
      <c r="M228" s="228"/>
      <c r="N228" s="228"/>
      <c r="O228" s="228" t="s">
        <v>1487</v>
      </c>
    </row>
    <row r="229" spans="1:15" ht="42.75" hidden="1" x14ac:dyDescent="0.2">
      <c r="A229" s="227">
        <v>245</v>
      </c>
      <c r="B229" s="225"/>
      <c r="C229" s="228" t="s">
        <v>174</v>
      </c>
      <c r="D229" s="225" t="s">
        <v>27</v>
      </c>
      <c r="E229" s="225"/>
      <c r="F229" s="229" t="s">
        <v>1489</v>
      </c>
      <c r="G229" s="229" t="s">
        <v>1489</v>
      </c>
      <c r="H229" s="229" t="s">
        <v>1489</v>
      </c>
      <c r="I229" s="229" t="s">
        <v>1489</v>
      </c>
      <c r="J229" s="225"/>
      <c r="K229" s="230">
        <v>214000</v>
      </c>
      <c r="L229" s="230">
        <v>214000</v>
      </c>
      <c r="M229" s="228"/>
      <c r="N229" s="228"/>
      <c r="O229" s="228" t="s">
        <v>1487</v>
      </c>
    </row>
    <row r="230" spans="1:15" ht="42.75" hidden="1" x14ac:dyDescent="0.2">
      <c r="A230" s="227">
        <v>246</v>
      </c>
      <c r="B230" s="225"/>
      <c r="C230" s="228" t="s">
        <v>150</v>
      </c>
      <c r="D230" s="225" t="s">
        <v>27</v>
      </c>
      <c r="E230" s="225"/>
      <c r="F230" s="229" t="s">
        <v>1489</v>
      </c>
      <c r="G230" s="229" t="s">
        <v>1489</v>
      </c>
      <c r="H230" s="229" t="s">
        <v>1489</v>
      </c>
      <c r="I230" s="229" t="s">
        <v>1489</v>
      </c>
      <c r="J230" s="225"/>
      <c r="K230" s="230">
        <v>402000</v>
      </c>
      <c r="L230" s="230">
        <v>402000</v>
      </c>
      <c r="M230" s="228"/>
      <c r="N230" s="228"/>
      <c r="O230" s="228" t="s">
        <v>1487</v>
      </c>
    </row>
    <row r="231" spans="1:15" ht="42.75" hidden="1" x14ac:dyDescent="0.2">
      <c r="A231" s="227">
        <v>247</v>
      </c>
      <c r="B231" s="225"/>
      <c r="C231" s="228" t="s">
        <v>32</v>
      </c>
      <c r="D231" s="225" t="s">
        <v>27</v>
      </c>
      <c r="E231" s="225"/>
      <c r="F231" s="229" t="s">
        <v>1489</v>
      </c>
      <c r="G231" s="229" t="s">
        <v>1489</v>
      </c>
      <c r="H231" s="229" t="s">
        <v>1489</v>
      </c>
      <c r="I231" s="229" t="s">
        <v>1489</v>
      </c>
      <c r="J231" s="225"/>
      <c r="K231" s="230">
        <v>46800</v>
      </c>
      <c r="L231" s="230">
        <v>46800</v>
      </c>
      <c r="M231" s="228"/>
      <c r="N231" s="228"/>
      <c r="O231" s="228" t="s">
        <v>1487</v>
      </c>
    </row>
    <row r="232" spans="1:15" ht="42.75" hidden="1" x14ac:dyDescent="0.2">
      <c r="A232" s="227">
        <v>248</v>
      </c>
      <c r="B232" s="225"/>
      <c r="C232" s="228" t="s">
        <v>239</v>
      </c>
      <c r="D232" s="225" t="s">
        <v>27</v>
      </c>
      <c r="E232" s="225"/>
      <c r="F232" s="229" t="s">
        <v>1489</v>
      </c>
      <c r="G232" s="229" t="s">
        <v>1489</v>
      </c>
      <c r="H232" s="229" t="s">
        <v>1489</v>
      </c>
      <c r="I232" s="229" t="s">
        <v>1489</v>
      </c>
      <c r="J232" s="225"/>
      <c r="K232" s="230">
        <v>100000</v>
      </c>
      <c r="L232" s="230">
        <v>100000</v>
      </c>
      <c r="M232" s="228"/>
      <c r="N232" s="228"/>
      <c r="O232" s="228" t="s">
        <v>1487</v>
      </c>
    </row>
    <row r="233" spans="1:15" ht="42.75" hidden="1" x14ac:dyDescent="0.2">
      <c r="A233" s="227">
        <v>249</v>
      </c>
      <c r="B233" s="225"/>
      <c r="C233" s="228" t="s">
        <v>30</v>
      </c>
      <c r="D233" s="225" t="s">
        <v>27</v>
      </c>
      <c r="E233" s="225"/>
      <c r="F233" s="229" t="s">
        <v>1489</v>
      </c>
      <c r="G233" s="229" t="s">
        <v>1489</v>
      </c>
      <c r="H233" s="229" t="s">
        <v>1489</v>
      </c>
      <c r="I233" s="229" t="s">
        <v>1489</v>
      </c>
      <c r="J233" s="225"/>
      <c r="K233" s="230">
        <v>46800</v>
      </c>
      <c r="L233" s="230">
        <v>46800</v>
      </c>
      <c r="M233" s="228"/>
      <c r="N233" s="228"/>
      <c r="O233" s="228" t="s">
        <v>1487</v>
      </c>
    </row>
    <row r="234" spans="1:15" ht="42.75" hidden="1" x14ac:dyDescent="0.2">
      <c r="A234" s="227">
        <v>250</v>
      </c>
      <c r="B234" s="225"/>
      <c r="C234" s="228" t="s">
        <v>160</v>
      </c>
      <c r="D234" s="225" t="s">
        <v>27</v>
      </c>
      <c r="E234" s="225"/>
      <c r="F234" s="229" t="s">
        <v>1489</v>
      </c>
      <c r="G234" s="229" t="s">
        <v>1489</v>
      </c>
      <c r="H234" s="229" t="s">
        <v>1489</v>
      </c>
      <c r="I234" s="229" t="s">
        <v>1489</v>
      </c>
      <c r="J234" s="225"/>
      <c r="K234" s="230">
        <v>1336500</v>
      </c>
      <c r="L234" s="230">
        <v>1336500</v>
      </c>
      <c r="M234" s="228"/>
      <c r="N234" s="228"/>
      <c r="O234" s="228" t="s">
        <v>1487</v>
      </c>
    </row>
    <row r="235" spans="1:15" ht="42.75" hidden="1" x14ac:dyDescent="0.2">
      <c r="A235" s="227">
        <v>251</v>
      </c>
      <c r="B235" s="225"/>
      <c r="C235" s="228" t="s">
        <v>48</v>
      </c>
      <c r="D235" s="225" t="s">
        <v>27</v>
      </c>
      <c r="E235" s="225"/>
      <c r="F235" s="229" t="s">
        <v>1489</v>
      </c>
      <c r="G235" s="229" t="s">
        <v>1489</v>
      </c>
      <c r="H235" s="229" t="s">
        <v>1489</v>
      </c>
      <c r="I235" s="229" t="s">
        <v>1489</v>
      </c>
      <c r="J235" s="225"/>
      <c r="K235" s="230">
        <v>105600</v>
      </c>
      <c r="L235" s="230">
        <v>105600</v>
      </c>
      <c r="M235" s="228"/>
      <c r="N235" s="228"/>
      <c r="O235" s="228" t="s">
        <v>1487</v>
      </c>
    </row>
    <row r="236" spans="1:15" ht="42.75" hidden="1" x14ac:dyDescent="0.2">
      <c r="A236" s="227">
        <v>252</v>
      </c>
      <c r="B236" s="225"/>
      <c r="C236" s="228" t="s">
        <v>232</v>
      </c>
      <c r="D236" s="225" t="s">
        <v>27</v>
      </c>
      <c r="E236" s="225"/>
      <c r="F236" s="229" t="s">
        <v>1489</v>
      </c>
      <c r="G236" s="229" t="s">
        <v>1489</v>
      </c>
      <c r="H236" s="229" t="s">
        <v>1489</v>
      </c>
      <c r="I236" s="229" t="s">
        <v>1489</v>
      </c>
      <c r="J236" s="225"/>
      <c r="K236" s="230">
        <v>107100</v>
      </c>
      <c r="L236" s="230">
        <v>107100</v>
      </c>
      <c r="M236" s="228"/>
      <c r="N236" s="228"/>
      <c r="O236" s="228" t="s">
        <v>1487</v>
      </c>
    </row>
    <row r="237" spans="1:15" ht="42.75" hidden="1" x14ac:dyDescent="0.2">
      <c r="A237" s="227">
        <v>253</v>
      </c>
      <c r="B237" s="225"/>
      <c r="C237" s="228" t="s">
        <v>89</v>
      </c>
      <c r="D237" s="225" t="s">
        <v>27</v>
      </c>
      <c r="E237" s="225"/>
      <c r="F237" s="229" t="s">
        <v>1489</v>
      </c>
      <c r="G237" s="229" t="s">
        <v>1489</v>
      </c>
      <c r="H237" s="229" t="s">
        <v>1489</v>
      </c>
      <c r="I237" s="229" t="s">
        <v>1489</v>
      </c>
      <c r="J237" s="225"/>
      <c r="K237" s="230">
        <v>76800</v>
      </c>
      <c r="L237" s="230">
        <v>76800</v>
      </c>
      <c r="M237" s="228"/>
      <c r="N237" s="228"/>
      <c r="O237" s="228" t="s">
        <v>1487</v>
      </c>
    </row>
    <row r="238" spans="1:15" ht="42.75" hidden="1" x14ac:dyDescent="0.2">
      <c r="A238" s="227">
        <v>254</v>
      </c>
      <c r="B238" s="225"/>
      <c r="C238" s="228" t="s">
        <v>157</v>
      </c>
      <c r="D238" s="225" t="s">
        <v>27</v>
      </c>
      <c r="E238" s="225"/>
      <c r="F238" s="229" t="s">
        <v>1489</v>
      </c>
      <c r="G238" s="229" t="s">
        <v>1489</v>
      </c>
      <c r="H238" s="229" t="s">
        <v>1489</v>
      </c>
      <c r="I238" s="229" t="s">
        <v>1489</v>
      </c>
      <c r="J238" s="225"/>
      <c r="K238" s="230">
        <v>788400</v>
      </c>
      <c r="L238" s="230">
        <v>788400</v>
      </c>
      <c r="M238" s="228"/>
      <c r="N238" s="228"/>
      <c r="O238" s="228" t="s">
        <v>1487</v>
      </c>
    </row>
    <row r="239" spans="1:15" ht="42.75" hidden="1" x14ac:dyDescent="0.2">
      <c r="A239" s="227">
        <v>255</v>
      </c>
      <c r="B239" s="225"/>
      <c r="C239" s="228" t="s">
        <v>168</v>
      </c>
      <c r="D239" s="225" t="s">
        <v>27</v>
      </c>
      <c r="E239" s="225"/>
      <c r="F239" s="229" t="s">
        <v>1489</v>
      </c>
      <c r="G239" s="229" t="s">
        <v>1489</v>
      </c>
      <c r="H239" s="229" t="s">
        <v>1489</v>
      </c>
      <c r="I239" s="229" t="s">
        <v>1489</v>
      </c>
      <c r="J239" s="225"/>
      <c r="K239" s="230">
        <v>1954200</v>
      </c>
      <c r="L239" s="230">
        <v>1954200</v>
      </c>
      <c r="M239" s="228"/>
      <c r="N239" s="228"/>
      <c r="O239" s="228" t="s">
        <v>1487</v>
      </c>
    </row>
    <row r="240" spans="1:15" ht="42.75" hidden="1" x14ac:dyDescent="0.2">
      <c r="A240" s="227">
        <v>256</v>
      </c>
      <c r="B240" s="225"/>
      <c r="C240" s="228" t="s">
        <v>147</v>
      </c>
      <c r="D240" s="225" t="s">
        <v>27</v>
      </c>
      <c r="E240" s="225"/>
      <c r="F240" s="229" t="s">
        <v>1489</v>
      </c>
      <c r="G240" s="229" t="s">
        <v>1489</v>
      </c>
      <c r="H240" s="229" t="s">
        <v>1489</v>
      </c>
      <c r="I240" s="229" t="s">
        <v>1489</v>
      </c>
      <c r="J240" s="225"/>
      <c r="K240" s="230">
        <v>9918000</v>
      </c>
      <c r="L240" s="230">
        <v>9918000</v>
      </c>
      <c r="M240" s="228"/>
      <c r="N240" s="228"/>
      <c r="O240" s="228" t="s">
        <v>1487</v>
      </c>
    </row>
    <row r="241" spans="1:15" ht="42.75" hidden="1" x14ac:dyDescent="0.2">
      <c r="A241" s="227">
        <v>257</v>
      </c>
      <c r="B241" s="225"/>
      <c r="C241" s="228" t="s">
        <v>113</v>
      </c>
      <c r="D241" s="225" t="s">
        <v>27</v>
      </c>
      <c r="E241" s="225"/>
      <c r="F241" s="229" t="s">
        <v>1489</v>
      </c>
      <c r="G241" s="229" t="s">
        <v>1489</v>
      </c>
      <c r="H241" s="229" t="s">
        <v>1489</v>
      </c>
      <c r="I241" s="229" t="s">
        <v>1489</v>
      </c>
      <c r="J241" s="225"/>
      <c r="K241" s="230">
        <v>91200</v>
      </c>
      <c r="L241" s="230">
        <v>91200</v>
      </c>
      <c r="M241" s="228"/>
      <c r="N241" s="228"/>
      <c r="O241" s="228" t="s">
        <v>1487</v>
      </c>
    </row>
    <row r="242" spans="1:15" ht="42.75" hidden="1" x14ac:dyDescent="0.2">
      <c r="A242" s="227">
        <v>258</v>
      </c>
      <c r="B242" s="225"/>
      <c r="C242" s="228" t="s">
        <v>238</v>
      </c>
      <c r="D242" s="225" t="s">
        <v>27</v>
      </c>
      <c r="E242" s="225"/>
      <c r="F242" s="229" t="s">
        <v>1489</v>
      </c>
      <c r="G242" s="229" t="s">
        <v>1489</v>
      </c>
      <c r="H242" s="229" t="s">
        <v>1489</v>
      </c>
      <c r="I242" s="229" t="s">
        <v>1489</v>
      </c>
      <c r="J242" s="225"/>
      <c r="K242" s="230">
        <v>200000</v>
      </c>
      <c r="L242" s="230">
        <v>200000</v>
      </c>
      <c r="M242" s="228"/>
      <c r="N242" s="228"/>
      <c r="O242" s="228" t="s">
        <v>1487</v>
      </c>
    </row>
    <row r="243" spans="1:15" ht="42.75" hidden="1" x14ac:dyDescent="0.2">
      <c r="A243" s="227">
        <v>259</v>
      </c>
      <c r="B243" s="225"/>
      <c r="C243" s="228" t="s">
        <v>188</v>
      </c>
      <c r="D243" s="225" t="s">
        <v>27</v>
      </c>
      <c r="E243" s="225"/>
      <c r="F243" s="229" t="s">
        <v>1489</v>
      </c>
      <c r="G243" s="229" t="s">
        <v>1489</v>
      </c>
      <c r="H243" s="229" t="s">
        <v>1489</v>
      </c>
      <c r="I243" s="229" t="s">
        <v>1489</v>
      </c>
      <c r="J243" s="225"/>
      <c r="K243" s="230">
        <v>2700000</v>
      </c>
      <c r="L243" s="230">
        <v>2700000</v>
      </c>
      <c r="M243" s="228"/>
      <c r="N243" s="228"/>
      <c r="O243" s="228" t="s">
        <v>1487</v>
      </c>
    </row>
    <row r="244" spans="1:15" ht="42.75" hidden="1" x14ac:dyDescent="0.2">
      <c r="A244" s="227">
        <v>260</v>
      </c>
      <c r="B244" s="225"/>
      <c r="C244" s="228" t="s">
        <v>143</v>
      </c>
      <c r="D244" s="225" t="s">
        <v>27</v>
      </c>
      <c r="E244" s="225"/>
      <c r="F244" s="229" t="s">
        <v>1489</v>
      </c>
      <c r="G244" s="229" t="s">
        <v>1489</v>
      </c>
      <c r="H244" s="229" t="s">
        <v>1489</v>
      </c>
      <c r="I244" s="229" t="s">
        <v>1489</v>
      </c>
      <c r="J244" s="225"/>
      <c r="K244" s="230">
        <v>352800</v>
      </c>
      <c r="L244" s="230">
        <v>352800</v>
      </c>
      <c r="M244" s="228"/>
      <c r="N244" s="228"/>
      <c r="O244" s="228" t="s">
        <v>1487</v>
      </c>
    </row>
    <row r="245" spans="1:15" ht="42.75" hidden="1" x14ac:dyDescent="0.2">
      <c r="A245" s="227">
        <v>261</v>
      </c>
      <c r="B245" s="225"/>
      <c r="C245" s="228" t="s">
        <v>180</v>
      </c>
      <c r="D245" s="225" t="s">
        <v>27</v>
      </c>
      <c r="E245" s="225"/>
      <c r="F245" s="229" t="s">
        <v>1489</v>
      </c>
      <c r="G245" s="229" t="s">
        <v>1489</v>
      </c>
      <c r="H245" s="229" t="s">
        <v>1489</v>
      </c>
      <c r="I245" s="229" t="s">
        <v>1489</v>
      </c>
      <c r="J245" s="225"/>
      <c r="K245" s="230">
        <v>2073000</v>
      </c>
      <c r="L245" s="230">
        <v>2073000</v>
      </c>
      <c r="M245" s="228"/>
      <c r="N245" s="228"/>
      <c r="O245" s="228" t="s">
        <v>1487</v>
      </c>
    </row>
    <row r="246" spans="1:15" ht="42.75" hidden="1" x14ac:dyDescent="0.2">
      <c r="A246" s="227">
        <v>262</v>
      </c>
      <c r="B246" s="225"/>
      <c r="C246" s="228" t="s">
        <v>35</v>
      </c>
      <c r="D246" s="225" t="s">
        <v>27</v>
      </c>
      <c r="E246" s="225"/>
      <c r="F246" s="229" t="s">
        <v>1489</v>
      </c>
      <c r="G246" s="229" t="s">
        <v>1489</v>
      </c>
      <c r="H246" s="229" t="s">
        <v>1489</v>
      </c>
      <c r="I246" s="229" t="s">
        <v>1489</v>
      </c>
      <c r="J246" s="225"/>
      <c r="K246" s="230">
        <v>1583100</v>
      </c>
      <c r="L246" s="230">
        <v>1583100</v>
      </c>
      <c r="M246" s="228"/>
      <c r="N246" s="228"/>
      <c r="O246" s="228" t="s">
        <v>1487</v>
      </c>
    </row>
    <row r="247" spans="1:15" ht="42.75" hidden="1" x14ac:dyDescent="0.2">
      <c r="A247" s="227">
        <v>263</v>
      </c>
      <c r="B247" s="225"/>
      <c r="C247" s="228" t="s">
        <v>46</v>
      </c>
      <c r="D247" s="225" t="s">
        <v>27</v>
      </c>
      <c r="E247" s="225"/>
      <c r="F247" s="229" t="s">
        <v>1489</v>
      </c>
      <c r="G247" s="229" t="s">
        <v>1489</v>
      </c>
      <c r="H247" s="229" t="s">
        <v>1489</v>
      </c>
      <c r="I247" s="229" t="s">
        <v>1489</v>
      </c>
      <c r="J247" s="225"/>
      <c r="K247" s="230">
        <v>856800</v>
      </c>
      <c r="L247" s="230">
        <v>856800</v>
      </c>
      <c r="M247" s="228"/>
      <c r="N247" s="228"/>
      <c r="O247" s="228" t="s">
        <v>1487</v>
      </c>
    </row>
    <row r="248" spans="1:15" ht="42.75" hidden="1" x14ac:dyDescent="0.2">
      <c r="A248" s="227">
        <v>264</v>
      </c>
      <c r="B248" s="225"/>
      <c r="C248" s="228" t="s">
        <v>36</v>
      </c>
      <c r="D248" s="225" t="s">
        <v>27</v>
      </c>
      <c r="E248" s="225"/>
      <c r="F248" s="229" t="s">
        <v>1489</v>
      </c>
      <c r="G248" s="229" t="s">
        <v>1489</v>
      </c>
      <c r="H248" s="229" t="s">
        <v>1489</v>
      </c>
      <c r="I248" s="229" t="s">
        <v>1489</v>
      </c>
      <c r="J248" s="225"/>
      <c r="K248" s="230">
        <v>390120</v>
      </c>
      <c r="L248" s="230">
        <v>390120</v>
      </c>
      <c r="M248" s="228"/>
      <c r="N248" s="228"/>
      <c r="O248" s="228" t="s">
        <v>1487</v>
      </c>
    </row>
    <row r="249" spans="1:15" ht="42.75" hidden="1" x14ac:dyDescent="0.2">
      <c r="A249" s="227">
        <v>265</v>
      </c>
      <c r="B249" s="225"/>
      <c r="C249" s="228" t="s">
        <v>99</v>
      </c>
      <c r="D249" s="225" t="s">
        <v>27</v>
      </c>
      <c r="E249" s="225"/>
      <c r="F249" s="229" t="s">
        <v>1489</v>
      </c>
      <c r="G249" s="229" t="s">
        <v>1489</v>
      </c>
      <c r="H249" s="229" t="s">
        <v>1489</v>
      </c>
      <c r="I249" s="229" t="s">
        <v>1489</v>
      </c>
      <c r="J249" s="225"/>
      <c r="K249" s="230">
        <v>436800</v>
      </c>
      <c r="L249" s="230">
        <v>436800</v>
      </c>
      <c r="M249" s="228"/>
      <c r="N249" s="228"/>
      <c r="O249" s="228" t="s">
        <v>1487</v>
      </c>
    </row>
    <row r="250" spans="1:15" ht="42.75" hidden="1" x14ac:dyDescent="0.2">
      <c r="A250" s="227">
        <v>266</v>
      </c>
      <c r="B250" s="225"/>
      <c r="C250" s="228" t="s">
        <v>44</v>
      </c>
      <c r="D250" s="225" t="s">
        <v>27</v>
      </c>
      <c r="E250" s="225"/>
      <c r="F250" s="229" t="s">
        <v>1489</v>
      </c>
      <c r="G250" s="229" t="s">
        <v>1489</v>
      </c>
      <c r="H250" s="229" t="s">
        <v>1489</v>
      </c>
      <c r="I250" s="229" t="s">
        <v>1489</v>
      </c>
      <c r="J250" s="225"/>
      <c r="K250" s="230">
        <v>1310400</v>
      </c>
      <c r="L250" s="230">
        <v>1310400</v>
      </c>
      <c r="M250" s="228"/>
      <c r="N250" s="228"/>
      <c r="O250" s="228" t="s">
        <v>1487</v>
      </c>
    </row>
    <row r="251" spans="1:15" ht="42.75" hidden="1" x14ac:dyDescent="0.2">
      <c r="A251" s="227">
        <v>267</v>
      </c>
      <c r="B251" s="225"/>
      <c r="C251" s="228" t="s">
        <v>234</v>
      </c>
      <c r="D251" s="225" t="s">
        <v>27</v>
      </c>
      <c r="E251" s="225"/>
      <c r="F251" s="229" t="s">
        <v>1489</v>
      </c>
      <c r="G251" s="229" t="s">
        <v>1489</v>
      </c>
      <c r="H251" s="229" t="s">
        <v>1489</v>
      </c>
      <c r="I251" s="229" t="s">
        <v>1489</v>
      </c>
      <c r="J251" s="225"/>
      <c r="K251" s="230">
        <v>200000</v>
      </c>
      <c r="L251" s="230">
        <v>200000</v>
      </c>
      <c r="M251" s="228"/>
      <c r="N251" s="228"/>
      <c r="O251" s="228" t="s">
        <v>1487</v>
      </c>
    </row>
    <row r="252" spans="1:15" ht="42.75" hidden="1" x14ac:dyDescent="0.2">
      <c r="A252" s="227">
        <v>268</v>
      </c>
      <c r="B252" s="225"/>
      <c r="C252" s="228" t="s">
        <v>173</v>
      </c>
      <c r="D252" s="225" t="s">
        <v>27</v>
      </c>
      <c r="E252" s="225"/>
      <c r="F252" s="229" t="s">
        <v>1489</v>
      </c>
      <c r="G252" s="229" t="s">
        <v>1489</v>
      </c>
      <c r="H252" s="229" t="s">
        <v>1489</v>
      </c>
      <c r="I252" s="229" t="s">
        <v>1489</v>
      </c>
      <c r="J252" s="225"/>
      <c r="K252" s="230">
        <v>147000</v>
      </c>
      <c r="L252" s="230">
        <v>147000</v>
      </c>
      <c r="M252" s="228"/>
      <c r="N252" s="228"/>
      <c r="O252" s="228" t="s">
        <v>1487</v>
      </c>
    </row>
    <row r="253" spans="1:15" ht="42.75" hidden="1" x14ac:dyDescent="0.2">
      <c r="A253" s="227">
        <v>269</v>
      </c>
      <c r="B253" s="225"/>
      <c r="C253" s="228" t="s">
        <v>110</v>
      </c>
      <c r="D253" s="225" t="s">
        <v>27</v>
      </c>
      <c r="E253" s="225"/>
      <c r="F253" s="229" t="s">
        <v>1489</v>
      </c>
      <c r="G253" s="229" t="s">
        <v>1489</v>
      </c>
      <c r="H253" s="229" t="s">
        <v>1489</v>
      </c>
      <c r="I253" s="229" t="s">
        <v>1489</v>
      </c>
      <c r="J253" s="225"/>
      <c r="K253" s="230">
        <v>92400</v>
      </c>
      <c r="L253" s="230">
        <v>92400</v>
      </c>
      <c r="M253" s="228"/>
      <c r="N253" s="228"/>
      <c r="O253" s="228" t="s">
        <v>1487</v>
      </c>
    </row>
    <row r="254" spans="1:15" ht="42.75" hidden="1" x14ac:dyDescent="0.2">
      <c r="A254" s="227">
        <v>270</v>
      </c>
      <c r="B254" s="225"/>
      <c r="C254" s="228" t="s">
        <v>647</v>
      </c>
      <c r="D254" s="225" t="s">
        <v>27</v>
      </c>
      <c r="E254" s="225"/>
      <c r="F254" s="229" t="s">
        <v>1489</v>
      </c>
      <c r="G254" s="229" t="s">
        <v>1489</v>
      </c>
      <c r="H254" s="229" t="s">
        <v>1489</v>
      </c>
      <c r="I254" s="229" t="s">
        <v>1489</v>
      </c>
      <c r="J254" s="225"/>
      <c r="K254" s="230">
        <v>28800</v>
      </c>
      <c r="L254" s="230">
        <v>28800</v>
      </c>
      <c r="M254" s="228"/>
      <c r="N254" s="228"/>
      <c r="O254" s="228" t="s">
        <v>1487</v>
      </c>
    </row>
    <row r="255" spans="1:15" ht="42.75" hidden="1" x14ac:dyDescent="0.2">
      <c r="A255" s="227">
        <v>271</v>
      </c>
      <c r="B255" s="225"/>
      <c r="C255" s="228" t="s">
        <v>43</v>
      </c>
      <c r="D255" s="225" t="s">
        <v>27</v>
      </c>
      <c r="E255" s="225"/>
      <c r="F255" s="229" t="s">
        <v>1489</v>
      </c>
      <c r="G255" s="229" t="s">
        <v>1489</v>
      </c>
      <c r="H255" s="229" t="s">
        <v>1489</v>
      </c>
      <c r="I255" s="229" t="s">
        <v>1489</v>
      </c>
      <c r="J255" s="225"/>
      <c r="K255" s="230">
        <v>2610600</v>
      </c>
      <c r="L255" s="230">
        <v>2610600</v>
      </c>
      <c r="M255" s="228"/>
      <c r="N255" s="228"/>
      <c r="O255" s="228" t="s">
        <v>1487</v>
      </c>
    </row>
    <row r="256" spans="1:15" ht="42.75" hidden="1" x14ac:dyDescent="0.2">
      <c r="A256" s="227">
        <v>272</v>
      </c>
      <c r="B256" s="225"/>
      <c r="C256" s="228" t="s">
        <v>226</v>
      </c>
      <c r="D256" s="225" t="s">
        <v>27</v>
      </c>
      <c r="E256" s="225"/>
      <c r="F256" s="229" t="s">
        <v>1489</v>
      </c>
      <c r="G256" s="229" t="s">
        <v>1489</v>
      </c>
      <c r="H256" s="229" t="s">
        <v>1489</v>
      </c>
      <c r="I256" s="229" t="s">
        <v>1489</v>
      </c>
      <c r="J256" s="225"/>
      <c r="K256" s="230">
        <v>116400</v>
      </c>
      <c r="L256" s="230">
        <v>116400</v>
      </c>
      <c r="M256" s="228"/>
      <c r="N256" s="228"/>
      <c r="O256" s="228" t="s">
        <v>1487</v>
      </c>
    </row>
    <row r="257" spans="1:15" ht="42.75" hidden="1" x14ac:dyDescent="0.2">
      <c r="A257" s="227">
        <v>273</v>
      </c>
      <c r="B257" s="225"/>
      <c r="C257" s="228" t="s">
        <v>96</v>
      </c>
      <c r="D257" s="225" t="s">
        <v>27</v>
      </c>
      <c r="E257" s="225"/>
      <c r="F257" s="229" t="s">
        <v>1489</v>
      </c>
      <c r="G257" s="229" t="s">
        <v>1489</v>
      </c>
      <c r="H257" s="229" t="s">
        <v>1489</v>
      </c>
      <c r="I257" s="229" t="s">
        <v>1489</v>
      </c>
      <c r="J257" s="225"/>
      <c r="K257" s="230">
        <v>63000</v>
      </c>
      <c r="L257" s="230">
        <v>63000</v>
      </c>
      <c r="M257" s="228"/>
      <c r="N257" s="228"/>
      <c r="O257" s="228" t="s">
        <v>1487</v>
      </c>
    </row>
    <row r="258" spans="1:15" ht="42.75" hidden="1" x14ac:dyDescent="0.2">
      <c r="A258" s="227">
        <v>274</v>
      </c>
      <c r="B258" s="225"/>
      <c r="C258" s="228" t="s">
        <v>98</v>
      </c>
      <c r="D258" s="225" t="s">
        <v>27</v>
      </c>
      <c r="E258" s="225"/>
      <c r="F258" s="229" t="s">
        <v>1489</v>
      </c>
      <c r="G258" s="229" t="s">
        <v>1489</v>
      </c>
      <c r="H258" s="229" t="s">
        <v>1489</v>
      </c>
      <c r="I258" s="229" t="s">
        <v>1489</v>
      </c>
      <c r="J258" s="225"/>
      <c r="K258" s="230">
        <v>2940000</v>
      </c>
      <c r="L258" s="230">
        <v>2940000</v>
      </c>
      <c r="M258" s="228"/>
      <c r="N258" s="228"/>
      <c r="O258" s="228" t="s">
        <v>1487</v>
      </c>
    </row>
    <row r="259" spans="1:15" ht="42.75" hidden="1" x14ac:dyDescent="0.2">
      <c r="A259" s="227">
        <v>275</v>
      </c>
      <c r="B259" s="225"/>
      <c r="C259" s="228" t="s">
        <v>237</v>
      </c>
      <c r="D259" s="225" t="s">
        <v>27</v>
      </c>
      <c r="E259" s="225"/>
      <c r="F259" s="229" t="s">
        <v>1489</v>
      </c>
      <c r="G259" s="229" t="s">
        <v>1489</v>
      </c>
      <c r="H259" s="229" t="s">
        <v>1489</v>
      </c>
      <c r="I259" s="229" t="s">
        <v>1489</v>
      </c>
      <c r="J259" s="225"/>
      <c r="K259" s="230">
        <v>237300</v>
      </c>
      <c r="L259" s="230">
        <v>237300</v>
      </c>
      <c r="M259" s="228"/>
      <c r="N259" s="228"/>
      <c r="O259" s="228" t="s">
        <v>1487</v>
      </c>
    </row>
    <row r="260" spans="1:15" ht="42.75" hidden="1" x14ac:dyDescent="0.2">
      <c r="A260" s="227">
        <v>276</v>
      </c>
      <c r="B260" s="225"/>
      <c r="C260" s="228" t="s">
        <v>34</v>
      </c>
      <c r="D260" s="225" t="s">
        <v>27</v>
      </c>
      <c r="E260" s="225"/>
      <c r="F260" s="229" t="s">
        <v>1489</v>
      </c>
      <c r="G260" s="229" t="s">
        <v>1489</v>
      </c>
      <c r="H260" s="229" t="s">
        <v>1489</v>
      </c>
      <c r="I260" s="229" t="s">
        <v>1489</v>
      </c>
      <c r="J260" s="225"/>
      <c r="K260" s="230">
        <v>178500</v>
      </c>
      <c r="L260" s="230">
        <v>178500</v>
      </c>
      <c r="M260" s="228"/>
      <c r="N260" s="228"/>
      <c r="O260" s="228" t="s">
        <v>1487</v>
      </c>
    </row>
    <row r="261" spans="1:15" ht="42.75" hidden="1" x14ac:dyDescent="0.2">
      <c r="A261" s="227">
        <v>277</v>
      </c>
      <c r="B261" s="225"/>
      <c r="C261" s="228" t="s">
        <v>102</v>
      </c>
      <c r="D261" s="225" t="s">
        <v>27</v>
      </c>
      <c r="E261" s="225"/>
      <c r="F261" s="229" t="s">
        <v>1489</v>
      </c>
      <c r="G261" s="229" t="s">
        <v>1489</v>
      </c>
      <c r="H261" s="229" t="s">
        <v>1489</v>
      </c>
      <c r="I261" s="229" t="s">
        <v>1489</v>
      </c>
      <c r="J261" s="225"/>
      <c r="K261" s="230">
        <v>1890000</v>
      </c>
      <c r="L261" s="230">
        <v>1890000</v>
      </c>
      <c r="M261" s="228"/>
      <c r="N261" s="228"/>
      <c r="O261" s="228" t="s">
        <v>1487</v>
      </c>
    </row>
    <row r="262" spans="1:15" ht="42.75" hidden="1" x14ac:dyDescent="0.2">
      <c r="A262" s="227">
        <v>278</v>
      </c>
      <c r="B262" s="225"/>
      <c r="C262" s="228" t="s">
        <v>163</v>
      </c>
      <c r="D262" s="225" t="s">
        <v>27</v>
      </c>
      <c r="E262" s="225"/>
      <c r="F262" s="229" t="s">
        <v>1489</v>
      </c>
      <c r="G262" s="229" t="s">
        <v>1489</v>
      </c>
      <c r="H262" s="229" t="s">
        <v>1489</v>
      </c>
      <c r="I262" s="229" t="s">
        <v>1489</v>
      </c>
      <c r="J262" s="225"/>
      <c r="K262" s="230">
        <v>338000</v>
      </c>
      <c r="L262" s="230">
        <v>338000</v>
      </c>
      <c r="M262" s="228"/>
      <c r="N262" s="228"/>
      <c r="O262" s="228" t="s">
        <v>1487</v>
      </c>
    </row>
    <row r="263" spans="1:15" ht="51" hidden="1" x14ac:dyDescent="0.2">
      <c r="A263" s="227">
        <v>279</v>
      </c>
      <c r="B263" s="225"/>
      <c r="C263" s="228" t="s">
        <v>654</v>
      </c>
      <c r="D263" s="225" t="s">
        <v>27</v>
      </c>
      <c r="E263" s="225"/>
      <c r="F263" s="229" t="s">
        <v>1489</v>
      </c>
      <c r="G263" s="229" t="s">
        <v>1489</v>
      </c>
      <c r="H263" s="229" t="s">
        <v>1489</v>
      </c>
      <c r="I263" s="229" t="s">
        <v>1489</v>
      </c>
      <c r="J263" s="225"/>
      <c r="K263" s="230">
        <v>28800</v>
      </c>
      <c r="L263" s="230">
        <v>28800</v>
      </c>
      <c r="M263" s="228"/>
      <c r="N263" s="228"/>
      <c r="O263" s="228" t="s">
        <v>1487</v>
      </c>
    </row>
    <row r="264" spans="1:15" ht="42.75" hidden="1" x14ac:dyDescent="0.2">
      <c r="A264" s="227">
        <v>280</v>
      </c>
      <c r="B264" s="225"/>
      <c r="C264" s="228" t="s">
        <v>103</v>
      </c>
      <c r="D264" s="225" t="s">
        <v>27</v>
      </c>
      <c r="E264" s="225"/>
      <c r="F264" s="229" t="s">
        <v>1489</v>
      </c>
      <c r="G264" s="229" t="s">
        <v>1489</v>
      </c>
      <c r="H264" s="229" t="s">
        <v>1489</v>
      </c>
      <c r="I264" s="229" t="s">
        <v>1489</v>
      </c>
      <c r="J264" s="225"/>
      <c r="K264" s="230">
        <v>1092500</v>
      </c>
      <c r="L264" s="230">
        <v>1092500</v>
      </c>
      <c r="M264" s="228"/>
      <c r="N264" s="228"/>
      <c r="O264" s="228" t="s">
        <v>1487</v>
      </c>
    </row>
    <row r="265" spans="1:15" ht="42.75" hidden="1" x14ac:dyDescent="0.2">
      <c r="A265" s="227">
        <v>281</v>
      </c>
      <c r="B265" s="225"/>
      <c r="C265" s="228" t="s">
        <v>240</v>
      </c>
      <c r="D265" s="225" t="s">
        <v>27</v>
      </c>
      <c r="E265" s="225"/>
      <c r="F265" s="229" t="s">
        <v>1489</v>
      </c>
      <c r="G265" s="229" t="s">
        <v>1489</v>
      </c>
      <c r="H265" s="229" t="s">
        <v>1489</v>
      </c>
      <c r="I265" s="229" t="s">
        <v>1489</v>
      </c>
      <c r="J265" s="225"/>
      <c r="K265" s="230">
        <v>49260</v>
      </c>
      <c r="L265" s="230">
        <v>49260</v>
      </c>
      <c r="M265" s="228"/>
      <c r="N265" s="228"/>
      <c r="O265" s="228" t="s">
        <v>1487</v>
      </c>
    </row>
    <row r="266" spans="1:15" ht="42.75" hidden="1" x14ac:dyDescent="0.2">
      <c r="A266" s="227">
        <v>282</v>
      </c>
      <c r="B266" s="225"/>
      <c r="C266" s="228" t="s">
        <v>95</v>
      </c>
      <c r="D266" s="225" t="s">
        <v>27</v>
      </c>
      <c r="E266" s="225"/>
      <c r="F266" s="229" t="s">
        <v>1489</v>
      </c>
      <c r="G266" s="229" t="s">
        <v>1489</v>
      </c>
      <c r="H266" s="229" t="s">
        <v>1489</v>
      </c>
      <c r="I266" s="229" t="s">
        <v>1489</v>
      </c>
      <c r="J266" s="225"/>
      <c r="K266" s="230">
        <v>193200</v>
      </c>
      <c r="L266" s="230">
        <v>193200</v>
      </c>
      <c r="M266" s="228"/>
      <c r="N266" s="228"/>
      <c r="O266" s="228" t="s">
        <v>1487</v>
      </c>
    </row>
    <row r="267" spans="1:15" ht="42.75" hidden="1" x14ac:dyDescent="0.2">
      <c r="A267" s="227">
        <v>283</v>
      </c>
      <c r="B267" s="225"/>
      <c r="C267" s="228" t="s">
        <v>107</v>
      </c>
      <c r="D267" s="225" t="s">
        <v>27</v>
      </c>
      <c r="E267" s="225"/>
      <c r="F267" s="229" t="s">
        <v>1489</v>
      </c>
      <c r="G267" s="229" t="s">
        <v>1489</v>
      </c>
      <c r="H267" s="229" t="s">
        <v>1489</v>
      </c>
      <c r="I267" s="229" t="s">
        <v>1489</v>
      </c>
      <c r="J267" s="225"/>
      <c r="K267" s="230">
        <v>873600</v>
      </c>
      <c r="L267" s="230">
        <v>873600</v>
      </c>
      <c r="M267" s="228"/>
      <c r="N267" s="228"/>
      <c r="O267" s="228" t="s">
        <v>1487</v>
      </c>
    </row>
    <row r="268" spans="1:15" ht="42.75" hidden="1" x14ac:dyDescent="0.2">
      <c r="A268" s="227">
        <v>284</v>
      </c>
      <c r="B268" s="225"/>
      <c r="C268" s="228" t="s">
        <v>224</v>
      </c>
      <c r="D268" s="225" t="s">
        <v>27</v>
      </c>
      <c r="E268" s="225"/>
      <c r="F268" s="229" t="s">
        <v>1489</v>
      </c>
      <c r="G268" s="229" t="s">
        <v>1489</v>
      </c>
      <c r="H268" s="229" t="s">
        <v>1489</v>
      </c>
      <c r="I268" s="229" t="s">
        <v>1489</v>
      </c>
      <c r="J268" s="225"/>
      <c r="K268" s="230">
        <v>200000</v>
      </c>
      <c r="L268" s="230">
        <v>200000</v>
      </c>
      <c r="M268" s="228"/>
      <c r="N268" s="228"/>
      <c r="O268" s="228" t="s">
        <v>1487</v>
      </c>
    </row>
    <row r="269" spans="1:15" ht="42.75" hidden="1" x14ac:dyDescent="0.2">
      <c r="A269" s="227">
        <v>285</v>
      </c>
      <c r="B269" s="225"/>
      <c r="C269" s="228" t="s">
        <v>97</v>
      </c>
      <c r="D269" s="225" t="s">
        <v>27</v>
      </c>
      <c r="E269" s="225"/>
      <c r="F269" s="229" t="s">
        <v>1489</v>
      </c>
      <c r="G269" s="229" t="s">
        <v>1489</v>
      </c>
      <c r="H269" s="229" t="s">
        <v>1489</v>
      </c>
      <c r="I269" s="229" t="s">
        <v>1489</v>
      </c>
      <c r="J269" s="225"/>
      <c r="K269" s="230">
        <v>100800</v>
      </c>
      <c r="L269" s="230">
        <v>100800</v>
      </c>
      <c r="M269" s="228"/>
      <c r="N269" s="228"/>
      <c r="O269" s="228" t="s">
        <v>1487</v>
      </c>
    </row>
    <row r="270" spans="1:15" ht="42.75" hidden="1" x14ac:dyDescent="0.2">
      <c r="A270" s="227">
        <v>286</v>
      </c>
      <c r="B270" s="225"/>
      <c r="C270" s="228" t="s">
        <v>38</v>
      </c>
      <c r="D270" s="225" t="s">
        <v>27</v>
      </c>
      <c r="E270" s="225"/>
      <c r="F270" s="229" t="s">
        <v>1489</v>
      </c>
      <c r="G270" s="229" t="s">
        <v>1489</v>
      </c>
      <c r="H270" s="229" t="s">
        <v>1489</v>
      </c>
      <c r="I270" s="229" t="s">
        <v>1489</v>
      </c>
      <c r="J270" s="225"/>
      <c r="K270" s="230">
        <v>117000</v>
      </c>
      <c r="L270" s="230">
        <v>117000</v>
      </c>
      <c r="M270" s="228"/>
      <c r="N270" s="228"/>
      <c r="O270" s="228" t="s">
        <v>1487</v>
      </c>
    </row>
    <row r="271" spans="1:15" ht="42.75" hidden="1" x14ac:dyDescent="0.2">
      <c r="A271" s="227">
        <v>287</v>
      </c>
      <c r="B271" s="225"/>
      <c r="C271" s="228" t="s">
        <v>114</v>
      </c>
      <c r="D271" s="225" t="s">
        <v>27</v>
      </c>
      <c r="E271" s="225"/>
      <c r="F271" s="229" t="s">
        <v>1489</v>
      </c>
      <c r="G271" s="229" t="s">
        <v>1489</v>
      </c>
      <c r="H271" s="229" t="s">
        <v>1489</v>
      </c>
      <c r="I271" s="229" t="s">
        <v>1489</v>
      </c>
      <c r="J271" s="225"/>
      <c r="K271" s="230">
        <v>92400</v>
      </c>
      <c r="L271" s="230">
        <v>92400</v>
      </c>
      <c r="M271" s="228"/>
      <c r="N271" s="228"/>
      <c r="O271" s="228" t="s">
        <v>1487</v>
      </c>
    </row>
    <row r="272" spans="1:15" ht="42.75" hidden="1" x14ac:dyDescent="0.2">
      <c r="A272" s="227">
        <v>288</v>
      </c>
      <c r="B272" s="225"/>
      <c r="C272" s="228" t="s">
        <v>229</v>
      </c>
      <c r="D272" s="225" t="s">
        <v>27</v>
      </c>
      <c r="E272" s="225"/>
      <c r="F272" s="229" t="s">
        <v>1489</v>
      </c>
      <c r="G272" s="229" t="s">
        <v>1489</v>
      </c>
      <c r="H272" s="229" t="s">
        <v>1489</v>
      </c>
      <c r="I272" s="229" t="s">
        <v>1489</v>
      </c>
      <c r="J272" s="225"/>
      <c r="K272" s="230">
        <v>127200</v>
      </c>
      <c r="L272" s="230">
        <v>127200</v>
      </c>
      <c r="M272" s="228"/>
      <c r="N272" s="228"/>
      <c r="O272" s="228" t="s">
        <v>1487</v>
      </c>
    </row>
    <row r="273" spans="1:15" ht="42.75" hidden="1" x14ac:dyDescent="0.2">
      <c r="A273" s="227">
        <v>289</v>
      </c>
      <c r="B273" s="225"/>
      <c r="C273" s="228" t="s">
        <v>596</v>
      </c>
      <c r="D273" s="225" t="s">
        <v>27</v>
      </c>
      <c r="E273" s="225"/>
      <c r="F273" s="229" t="s">
        <v>1489</v>
      </c>
      <c r="G273" s="229" t="s">
        <v>1489</v>
      </c>
      <c r="H273" s="229" t="s">
        <v>1489</v>
      </c>
      <c r="I273" s="229" t="s">
        <v>1489</v>
      </c>
      <c r="J273" s="225"/>
      <c r="K273" s="230">
        <v>28800</v>
      </c>
      <c r="L273" s="230">
        <v>28800</v>
      </c>
      <c r="M273" s="228"/>
      <c r="N273" s="228"/>
      <c r="O273" s="228" t="s">
        <v>1487</v>
      </c>
    </row>
    <row r="274" spans="1:15" ht="42.75" x14ac:dyDescent="0.2">
      <c r="A274" s="227">
        <v>23</v>
      </c>
      <c r="B274" s="225" t="s">
        <v>241</v>
      </c>
      <c r="C274" s="228" t="s">
        <v>1527</v>
      </c>
      <c r="D274" s="225" t="s">
        <v>26</v>
      </c>
      <c r="E274" s="225" t="s">
        <v>52</v>
      </c>
      <c r="F274" s="229" t="s">
        <v>1520</v>
      </c>
      <c r="G274" s="229" t="s">
        <v>1520</v>
      </c>
      <c r="H274" s="229" t="s">
        <v>1489</v>
      </c>
      <c r="I274" s="229" t="s">
        <v>1489</v>
      </c>
      <c r="J274" s="225" t="s">
        <v>1485</v>
      </c>
      <c r="K274" s="230">
        <v>240000</v>
      </c>
      <c r="L274" s="230">
        <v>240000</v>
      </c>
      <c r="M274" s="230">
        <v>0</v>
      </c>
      <c r="N274" s="230">
        <v>0</v>
      </c>
      <c r="O274" s="4" t="s">
        <v>1486</v>
      </c>
    </row>
    <row r="275" spans="1:15" ht="42.75" hidden="1" x14ac:dyDescent="0.2">
      <c r="A275" s="227">
        <v>291</v>
      </c>
      <c r="B275" s="225"/>
      <c r="C275" s="228" t="s">
        <v>33</v>
      </c>
      <c r="D275" s="225" t="s">
        <v>27</v>
      </c>
      <c r="E275" s="225"/>
      <c r="F275" s="229" t="s">
        <v>1489</v>
      </c>
      <c r="G275" s="229" t="s">
        <v>1489</v>
      </c>
      <c r="H275" s="229" t="s">
        <v>1489</v>
      </c>
      <c r="I275" s="229" t="s">
        <v>1489</v>
      </c>
      <c r="J275" s="225"/>
      <c r="K275" s="230">
        <v>240000</v>
      </c>
      <c r="L275" s="230">
        <v>240000</v>
      </c>
      <c r="M275" s="228"/>
      <c r="N275" s="228"/>
      <c r="O275" s="228" t="s">
        <v>1487</v>
      </c>
    </row>
    <row r="276" spans="1:15" ht="42.75" x14ac:dyDescent="0.2">
      <c r="A276" s="227">
        <v>24</v>
      </c>
      <c r="B276" s="225" t="s">
        <v>242</v>
      </c>
      <c r="C276" s="228" t="s">
        <v>80</v>
      </c>
      <c r="D276" s="225" t="s">
        <v>26</v>
      </c>
      <c r="E276" s="225" t="s">
        <v>52</v>
      </c>
      <c r="F276" s="229" t="s">
        <v>1528</v>
      </c>
      <c r="G276" s="229" t="s">
        <v>1528</v>
      </c>
      <c r="H276" s="229" t="s">
        <v>1488</v>
      </c>
      <c r="I276" s="229" t="s">
        <v>1488</v>
      </c>
      <c r="J276" s="225" t="s">
        <v>1485</v>
      </c>
      <c r="K276" s="230">
        <v>10383</v>
      </c>
      <c r="L276" s="230">
        <v>10383</v>
      </c>
      <c r="M276" s="230">
        <v>0</v>
      </c>
      <c r="N276" s="230">
        <v>0</v>
      </c>
      <c r="O276" s="4" t="s">
        <v>1486</v>
      </c>
    </row>
    <row r="277" spans="1:15" hidden="1" x14ac:dyDescent="0.2">
      <c r="A277" s="227">
        <v>293</v>
      </c>
      <c r="B277" s="225"/>
      <c r="C277" s="228" t="s">
        <v>43</v>
      </c>
      <c r="D277" s="225" t="s">
        <v>27</v>
      </c>
      <c r="E277" s="225"/>
      <c r="F277" s="228"/>
      <c r="G277" s="228"/>
      <c r="H277" s="228"/>
      <c r="I277" s="228"/>
      <c r="J277" s="228"/>
      <c r="K277" s="230">
        <v>10383</v>
      </c>
      <c r="L277" s="230">
        <v>10383</v>
      </c>
      <c r="M277" s="228"/>
      <c r="N277" s="228"/>
      <c r="O277" s="228" t="s">
        <v>1487</v>
      </c>
    </row>
    <row r="278" spans="1:15" x14ac:dyDescent="0.2">
      <c r="A278" s="254" t="s">
        <v>243</v>
      </c>
      <c r="B278" s="255"/>
      <c r="C278" s="255"/>
      <c r="D278" s="255"/>
      <c r="E278" s="255"/>
      <c r="F278" s="255"/>
      <c r="G278" s="255"/>
      <c r="H278" s="255"/>
      <c r="I278" s="255"/>
      <c r="J278" s="256"/>
      <c r="K278" s="231">
        <f>K11+K16+K47+K73+K105+K112+K114+K126+K133+K135+K175+K184+K186+K189+K191+K194+K196+K199+K202+K204+K206+K274+K276</f>
        <v>310492370.81999993</v>
      </c>
      <c r="L278" s="231">
        <f>L11+L16+L47+L73+L105+L112+L114+L126+L133+L135+L175+L184+L186+L189+L191+L194+L196+L199+L202+L204+L206+L274+L276</f>
        <v>310492370.81999993</v>
      </c>
      <c r="M278" s="231">
        <v>0</v>
      </c>
      <c r="N278" s="231">
        <v>0</v>
      </c>
      <c r="O278" s="4"/>
    </row>
    <row r="279" spans="1:15" x14ac:dyDescent="0.2">
      <c r="A279" s="257"/>
      <c r="B279" s="257"/>
      <c r="C279" s="257"/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  <c r="O279" s="257"/>
    </row>
    <row r="280" spans="1:15" ht="14.25" customHeight="1" x14ac:dyDescent="0.2">
      <c r="E280" s="10"/>
    </row>
    <row r="281" spans="1:15" ht="14.25" customHeight="1" x14ac:dyDescent="0.2">
      <c r="E281" s="10"/>
    </row>
    <row r="282" spans="1:15" ht="14.25" customHeight="1" x14ac:dyDescent="0.2">
      <c r="E282" s="10"/>
    </row>
    <row r="283" spans="1:15" ht="14.25" customHeight="1" x14ac:dyDescent="0.2">
      <c r="C283" s="156" t="s">
        <v>244</v>
      </c>
      <c r="G283" s="258" t="s">
        <v>1529</v>
      </c>
      <c r="H283" s="258"/>
      <c r="I283" s="258"/>
      <c r="L283" s="156" t="s">
        <v>245</v>
      </c>
    </row>
    <row r="285" spans="1:15" x14ac:dyDescent="0.2">
      <c r="L285" s="233"/>
    </row>
    <row r="287" spans="1:15" s="201" customFormat="1" ht="15" x14ac:dyDescent="0.25">
      <c r="C287" s="201" t="s">
        <v>1530</v>
      </c>
      <c r="E287" s="234"/>
      <c r="G287" s="201" t="s">
        <v>1531</v>
      </c>
      <c r="L287" s="201" t="s">
        <v>1532</v>
      </c>
    </row>
    <row r="288" spans="1:15" x14ac:dyDescent="0.2">
      <c r="C288" s="10" t="s">
        <v>1533</v>
      </c>
      <c r="G288" s="10" t="s">
        <v>1534</v>
      </c>
      <c r="L288" s="10" t="s">
        <v>1535</v>
      </c>
    </row>
    <row r="289" spans="3:12" x14ac:dyDescent="0.2">
      <c r="C289" s="10" t="s">
        <v>1417</v>
      </c>
      <c r="G289" s="10" t="s">
        <v>1536</v>
      </c>
      <c r="L289" s="10" t="s">
        <v>1537</v>
      </c>
    </row>
  </sheetData>
  <mergeCells count="19">
    <mergeCell ref="A1:O1"/>
    <mergeCell ref="A2:O2"/>
    <mergeCell ref="A3:O3"/>
    <mergeCell ref="A4:O4"/>
    <mergeCell ref="A5:H5"/>
    <mergeCell ref="I5:O5"/>
    <mergeCell ref="A278:J278"/>
    <mergeCell ref="A279:O279"/>
    <mergeCell ref="G283:I283"/>
    <mergeCell ref="A6:O6"/>
    <mergeCell ref="A7:O7"/>
    <mergeCell ref="A8:A9"/>
    <mergeCell ref="B8:B9"/>
    <mergeCell ref="C8:C9"/>
    <mergeCell ref="D8:D9"/>
    <mergeCell ref="E8:E9"/>
    <mergeCell ref="F8:I8"/>
    <mergeCell ref="J8:J9"/>
    <mergeCell ref="K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5089-DD65-4744-AEB9-6C94E4243567}">
  <dimension ref="A1:BK3088"/>
  <sheetViews>
    <sheetView view="pageBreakPreview" topLeftCell="A3028" zoomScaleNormal="100" zoomScaleSheetLayoutView="100" workbookViewId="0">
      <selection activeCell="I3097" sqref="I3097"/>
    </sheetView>
  </sheetViews>
  <sheetFormatPr defaultRowHeight="14.25" x14ac:dyDescent="0.25"/>
  <cols>
    <col min="1" max="1" width="6.28515625" style="55" customWidth="1"/>
    <col min="2" max="2" width="15.28515625" style="55" customWidth="1"/>
    <col min="3" max="3" width="45" style="54" customWidth="1"/>
    <col min="4" max="4" width="5.7109375" style="55" customWidth="1"/>
    <col min="5" max="5" width="11" style="55" customWidth="1"/>
    <col min="6" max="6" width="14.7109375" style="55" bestFit="1" customWidth="1"/>
    <col min="7" max="7" width="14.140625" style="159" customWidth="1"/>
    <col min="8" max="8" width="17" style="159" customWidth="1"/>
    <col min="9" max="9" width="16.5703125" style="55" customWidth="1"/>
    <col min="10" max="10" width="5.7109375" style="55" customWidth="1"/>
    <col min="11" max="11" width="5.140625" style="55" customWidth="1"/>
    <col min="12" max="12" width="7.28515625" style="55" customWidth="1"/>
    <col min="13" max="21" width="5.28515625" style="55" customWidth="1"/>
    <col min="22" max="16384" width="9.140625" style="54"/>
  </cols>
  <sheetData>
    <row r="1" spans="1:22" ht="15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2" ht="15" customHeight="1" x14ac:dyDescent="0.25">
      <c r="A2" s="264" t="s">
        <v>1408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2" ht="15" customHeight="1" x14ac:dyDescent="0.25">
      <c r="A3" s="264" t="s">
        <v>1409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2" ht="15" customHeight="1" x14ac:dyDescent="0.25">
      <c r="A4" s="264" t="s">
        <v>1410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</row>
    <row r="5" spans="1:22" ht="15" customHeight="1" x14ac:dyDescent="0.25">
      <c r="A5" s="83"/>
      <c r="B5" s="83"/>
      <c r="C5" s="83"/>
      <c r="D5" s="83"/>
      <c r="E5" s="83"/>
      <c r="F5" s="83"/>
      <c r="G5" s="158"/>
      <c r="H5" s="158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22" x14ac:dyDescent="0.25">
      <c r="B6" s="54"/>
      <c r="D6" s="54"/>
      <c r="E6" s="54"/>
      <c r="F6" s="54"/>
    </row>
    <row r="7" spans="1:22" x14ac:dyDescent="0.25">
      <c r="B7" s="54"/>
      <c r="D7" s="54"/>
      <c r="E7" s="54"/>
      <c r="F7" s="54"/>
    </row>
    <row r="8" spans="1:22" ht="15" customHeight="1" x14ac:dyDescent="0.25">
      <c r="A8" s="264" t="s">
        <v>1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</row>
    <row r="9" spans="1:22" x14ac:dyDescent="0.25">
      <c r="B9" s="54"/>
      <c r="D9" s="54"/>
      <c r="E9" s="54"/>
      <c r="F9" s="54"/>
    </row>
    <row r="10" spans="1:22" s="56" customFormat="1" x14ac:dyDescent="0.25">
      <c r="A10" s="265" t="s">
        <v>2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7" t="s">
        <v>1407</v>
      </c>
      <c r="L10" s="268"/>
      <c r="M10" s="268"/>
      <c r="N10" s="268"/>
      <c r="O10" s="268"/>
      <c r="P10" s="268"/>
      <c r="Q10" s="268"/>
      <c r="R10" s="268"/>
      <c r="S10" s="268"/>
      <c r="T10" s="268"/>
      <c r="U10" s="268"/>
    </row>
    <row r="11" spans="1:22" s="58" customFormat="1" ht="45" x14ac:dyDescent="0.25">
      <c r="A11" s="85" t="s">
        <v>3</v>
      </c>
      <c r="B11" s="85" t="s">
        <v>4</v>
      </c>
      <c r="C11" s="85" t="s">
        <v>5</v>
      </c>
      <c r="D11" s="85" t="s">
        <v>6</v>
      </c>
      <c r="E11" s="269" t="s">
        <v>7</v>
      </c>
      <c r="F11" s="270"/>
      <c r="G11" s="270"/>
      <c r="H11" s="85" t="s">
        <v>8</v>
      </c>
      <c r="I11" s="85" t="s">
        <v>9</v>
      </c>
      <c r="J11" s="269" t="s">
        <v>10</v>
      </c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</row>
    <row r="12" spans="1:22" s="55" customFormat="1" x14ac:dyDescent="0.25">
      <c r="A12" s="25">
        <v>1</v>
      </c>
      <c r="B12" s="84">
        <v>2</v>
      </c>
      <c r="C12" s="84">
        <v>3</v>
      </c>
      <c r="D12" s="84">
        <v>4</v>
      </c>
      <c r="E12" s="271">
        <v>5</v>
      </c>
      <c r="F12" s="272"/>
      <c r="G12" s="272"/>
      <c r="H12" s="160">
        <v>6</v>
      </c>
      <c r="I12" s="84">
        <v>7</v>
      </c>
      <c r="J12" s="84">
        <v>8</v>
      </c>
      <c r="K12" s="84">
        <v>9</v>
      </c>
      <c r="L12" s="84">
        <v>10</v>
      </c>
      <c r="M12" s="84">
        <v>11</v>
      </c>
      <c r="N12" s="84">
        <v>12</v>
      </c>
      <c r="O12" s="84">
        <v>13</v>
      </c>
      <c r="P12" s="84">
        <v>14</v>
      </c>
      <c r="Q12" s="84">
        <v>15</v>
      </c>
      <c r="R12" s="84">
        <v>16</v>
      </c>
      <c r="S12" s="84">
        <v>17</v>
      </c>
      <c r="T12" s="84">
        <v>18</v>
      </c>
      <c r="U12" s="84">
        <v>19</v>
      </c>
      <c r="V12" s="57"/>
    </row>
    <row r="13" spans="1:22" s="59" customFormat="1" ht="15" x14ac:dyDescent="0.25">
      <c r="A13" s="25">
        <v>2</v>
      </c>
      <c r="B13" s="85"/>
      <c r="C13" s="85"/>
      <c r="D13" s="85"/>
      <c r="E13" s="85" t="s">
        <v>11</v>
      </c>
      <c r="F13" s="85" t="s">
        <v>12</v>
      </c>
      <c r="G13" s="85" t="s">
        <v>13</v>
      </c>
      <c r="H13" s="85"/>
      <c r="I13" s="85"/>
      <c r="J13" s="85" t="s">
        <v>14</v>
      </c>
      <c r="K13" s="85" t="s">
        <v>15</v>
      </c>
      <c r="L13" s="85" t="s">
        <v>16</v>
      </c>
      <c r="M13" s="85" t="s">
        <v>17</v>
      </c>
      <c r="N13" s="85" t="s">
        <v>18</v>
      </c>
      <c r="O13" s="85" t="s">
        <v>19</v>
      </c>
      <c r="P13" s="85" t="s">
        <v>20</v>
      </c>
      <c r="Q13" s="85" t="s">
        <v>21</v>
      </c>
      <c r="R13" s="85" t="s">
        <v>22</v>
      </c>
      <c r="S13" s="85" t="s">
        <v>23</v>
      </c>
      <c r="T13" s="85" t="s">
        <v>24</v>
      </c>
      <c r="U13" s="85" t="s">
        <v>25</v>
      </c>
      <c r="V13" s="58"/>
    </row>
    <row r="14" spans="1:22" ht="30" x14ac:dyDescent="0.25">
      <c r="A14" s="25">
        <v>3</v>
      </c>
      <c r="B14" s="86" t="s">
        <v>50</v>
      </c>
      <c r="C14" s="87" t="s">
        <v>51</v>
      </c>
      <c r="D14" s="86" t="s">
        <v>26</v>
      </c>
      <c r="E14" s="86"/>
      <c r="F14" s="86"/>
      <c r="G14" s="161"/>
      <c r="H14" s="162">
        <f>H15+H51+H90+H147</f>
        <v>4797450.46</v>
      </c>
      <c r="I14" s="86" t="s">
        <v>52</v>
      </c>
      <c r="J14" s="86"/>
      <c r="K14" s="88">
        <v>1</v>
      </c>
      <c r="L14" s="86"/>
      <c r="M14" s="88">
        <v>1</v>
      </c>
      <c r="N14" s="88">
        <v>4</v>
      </c>
      <c r="O14" s="86"/>
      <c r="P14" s="88">
        <v>1</v>
      </c>
      <c r="Q14" s="88">
        <v>2</v>
      </c>
      <c r="R14" s="86"/>
      <c r="S14" s="88">
        <v>1</v>
      </c>
      <c r="T14" s="86"/>
      <c r="U14" s="86"/>
      <c r="V14" s="56"/>
    </row>
    <row r="15" spans="1:22" ht="30" x14ac:dyDescent="0.25">
      <c r="A15" s="25">
        <v>4</v>
      </c>
      <c r="B15" s="89" t="s">
        <v>50</v>
      </c>
      <c r="C15" s="90" t="s">
        <v>39</v>
      </c>
      <c r="D15" s="89" t="s">
        <v>27</v>
      </c>
      <c r="E15" s="89"/>
      <c r="F15" s="89"/>
      <c r="G15" s="163"/>
      <c r="H15" s="164">
        <v>446835</v>
      </c>
      <c r="I15" s="89" t="s">
        <v>52</v>
      </c>
      <c r="J15" s="60"/>
      <c r="K15" s="60"/>
      <c r="L15" s="60"/>
      <c r="M15" s="60">
        <v>1</v>
      </c>
      <c r="N15" s="60"/>
      <c r="O15" s="60"/>
      <c r="P15" s="60"/>
      <c r="Q15" s="60">
        <v>1</v>
      </c>
      <c r="R15" s="60"/>
      <c r="S15" s="60"/>
      <c r="T15" s="60"/>
      <c r="U15" s="60"/>
      <c r="V15" s="56"/>
    </row>
    <row r="16" spans="1:22" ht="14.25" customHeight="1" x14ac:dyDescent="0.25">
      <c r="A16" s="25">
        <v>5</v>
      </c>
      <c r="B16" s="23"/>
      <c r="C16" s="14" t="s">
        <v>301</v>
      </c>
      <c r="D16" s="23"/>
      <c r="E16" s="84"/>
      <c r="F16" s="23"/>
      <c r="G16" s="165"/>
      <c r="H16" s="16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6"/>
    </row>
    <row r="17" spans="1:22" x14ac:dyDescent="0.25">
      <c r="A17" s="25">
        <v>6</v>
      </c>
      <c r="B17" s="23"/>
      <c r="C17" s="14" t="s">
        <v>246</v>
      </c>
      <c r="D17" s="23"/>
      <c r="E17" s="36">
        <f>110*3</f>
        <v>330</v>
      </c>
      <c r="F17" s="36" t="s">
        <v>37</v>
      </c>
      <c r="G17" s="91">
        <v>120</v>
      </c>
      <c r="H17" s="165">
        <f>E17*G17</f>
        <v>39600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56"/>
    </row>
    <row r="18" spans="1:22" x14ac:dyDescent="0.25">
      <c r="A18" s="25">
        <v>7</v>
      </c>
      <c r="B18" s="23"/>
      <c r="C18" s="14" t="s">
        <v>264</v>
      </c>
      <c r="D18" s="23"/>
      <c r="E18" s="36">
        <f>110*3</f>
        <v>330</v>
      </c>
      <c r="F18" s="36" t="s">
        <v>37</v>
      </c>
      <c r="G18" s="91">
        <v>180</v>
      </c>
      <c r="H18" s="165">
        <f>E18*G18</f>
        <v>59400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56"/>
    </row>
    <row r="19" spans="1:22" x14ac:dyDescent="0.25">
      <c r="A19" s="25">
        <v>8</v>
      </c>
      <c r="B19" s="23"/>
      <c r="C19" s="14" t="s">
        <v>265</v>
      </c>
      <c r="D19" s="92"/>
      <c r="E19" s="36">
        <f>110*3</f>
        <v>330</v>
      </c>
      <c r="F19" s="36" t="s">
        <v>37</v>
      </c>
      <c r="G19" s="91">
        <v>120</v>
      </c>
      <c r="H19" s="165">
        <f>E19*G19</f>
        <v>39600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6"/>
    </row>
    <row r="20" spans="1:22" x14ac:dyDescent="0.25">
      <c r="A20" s="25">
        <v>9</v>
      </c>
      <c r="B20" s="23"/>
      <c r="C20" s="14" t="s">
        <v>293</v>
      </c>
      <c r="D20" s="23"/>
      <c r="E20" s="84"/>
      <c r="F20" s="23"/>
      <c r="G20" s="165"/>
      <c r="H20" s="16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56"/>
    </row>
    <row r="21" spans="1:22" x14ac:dyDescent="0.25">
      <c r="A21" s="25">
        <v>10</v>
      </c>
      <c r="B21" s="23"/>
      <c r="C21" s="14" t="s">
        <v>246</v>
      </c>
      <c r="D21" s="23"/>
      <c r="E21" s="36">
        <f>35*2*3</f>
        <v>210</v>
      </c>
      <c r="F21" s="36" t="s">
        <v>37</v>
      </c>
      <c r="G21" s="91">
        <v>120</v>
      </c>
      <c r="H21" s="165">
        <f>E21*G21</f>
        <v>25200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56"/>
    </row>
    <row r="22" spans="1:22" x14ac:dyDescent="0.25">
      <c r="A22" s="25">
        <v>11</v>
      </c>
      <c r="B22" s="23"/>
      <c r="C22" s="14" t="s">
        <v>264</v>
      </c>
      <c r="D22" s="23"/>
      <c r="E22" s="36">
        <f>35*2*3</f>
        <v>210</v>
      </c>
      <c r="F22" s="36" t="s">
        <v>37</v>
      </c>
      <c r="G22" s="91">
        <v>180</v>
      </c>
      <c r="H22" s="165">
        <f>E22*G22</f>
        <v>37800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56"/>
    </row>
    <row r="23" spans="1:22" x14ac:dyDescent="0.25">
      <c r="A23" s="25">
        <v>12</v>
      </c>
      <c r="B23" s="23"/>
      <c r="C23" s="14" t="s">
        <v>265</v>
      </c>
      <c r="D23" s="23"/>
      <c r="E23" s="36">
        <f>35*2*3</f>
        <v>210</v>
      </c>
      <c r="F23" s="36" t="s">
        <v>37</v>
      </c>
      <c r="G23" s="91">
        <v>120</v>
      </c>
      <c r="H23" s="165">
        <f>E23*G23</f>
        <v>25200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56"/>
    </row>
    <row r="24" spans="1:22" x14ac:dyDescent="0.25">
      <c r="A24" s="25">
        <v>13</v>
      </c>
      <c r="B24" s="23"/>
      <c r="C24" s="14" t="s">
        <v>286</v>
      </c>
      <c r="D24" s="23"/>
      <c r="E24" s="84"/>
      <c r="F24" s="23"/>
      <c r="G24" s="165"/>
      <c r="H24" s="16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56"/>
    </row>
    <row r="25" spans="1:22" x14ac:dyDescent="0.25">
      <c r="A25" s="25">
        <v>14</v>
      </c>
      <c r="B25" s="23"/>
      <c r="C25" s="93" t="s">
        <v>274</v>
      </c>
      <c r="D25" s="23"/>
      <c r="E25" s="23">
        <v>10</v>
      </c>
      <c r="F25" s="23" t="s">
        <v>310</v>
      </c>
      <c r="G25" s="94">
        <v>33</v>
      </c>
      <c r="H25" s="165">
        <f>E25*G25</f>
        <v>330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56"/>
    </row>
    <row r="26" spans="1:22" x14ac:dyDescent="0.25">
      <c r="A26" s="25">
        <v>15</v>
      </c>
      <c r="B26" s="23"/>
      <c r="C26" s="93" t="s">
        <v>275</v>
      </c>
      <c r="D26" s="23"/>
      <c r="E26" s="23">
        <v>15</v>
      </c>
      <c r="F26" s="23" t="s">
        <v>309</v>
      </c>
      <c r="G26" s="94">
        <v>295</v>
      </c>
      <c r="H26" s="165">
        <f t="shared" ref="H26:H36" si="0">E26*G26</f>
        <v>4425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56"/>
    </row>
    <row r="27" spans="1:22" x14ac:dyDescent="0.25">
      <c r="A27" s="25">
        <v>16</v>
      </c>
      <c r="B27" s="23"/>
      <c r="C27" s="39" t="s">
        <v>276</v>
      </c>
      <c r="D27" s="23"/>
      <c r="E27" s="36">
        <v>15</v>
      </c>
      <c r="F27" s="36" t="s">
        <v>152</v>
      </c>
      <c r="G27" s="95">
        <v>84</v>
      </c>
      <c r="H27" s="165">
        <f t="shared" si="0"/>
        <v>1260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56"/>
    </row>
    <row r="28" spans="1:22" x14ac:dyDescent="0.25">
      <c r="A28" s="25">
        <v>17</v>
      </c>
      <c r="B28" s="23"/>
      <c r="C28" s="39" t="s">
        <v>277</v>
      </c>
      <c r="D28" s="23"/>
      <c r="E28" s="36">
        <v>36</v>
      </c>
      <c r="F28" s="23" t="s">
        <v>309</v>
      </c>
      <c r="G28" s="95">
        <v>105</v>
      </c>
      <c r="H28" s="165">
        <f t="shared" si="0"/>
        <v>3780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56"/>
    </row>
    <row r="29" spans="1:22" x14ac:dyDescent="0.25">
      <c r="A29" s="25">
        <v>18</v>
      </c>
      <c r="B29" s="23"/>
      <c r="C29" s="39" t="s">
        <v>278</v>
      </c>
      <c r="D29" s="23"/>
      <c r="E29" s="36">
        <v>80</v>
      </c>
      <c r="F29" s="36" t="s">
        <v>152</v>
      </c>
      <c r="G29" s="95">
        <v>15</v>
      </c>
      <c r="H29" s="165">
        <f t="shared" si="0"/>
        <v>1200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56"/>
    </row>
    <row r="30" spans="1:22" x14ac:dyDescent="0.25">
      <c r="A30" s="25">
        <v>19</v>
      </c>
      <c r="B30" s="23"/>
      <c r="C30" s="39" t="s">
        <v>279</v>
      </c>
      <c r="D30" s="23"/>
      <c r="E30" s="36">
        <v>40</v>
      </c>
      <c r="F30" s="36" t="s">
        <v>152</v>
      </c>
      <c r="G30" s="95">
        <v>15</v>
      </c>
      <c r="H30" s="165">
        <f t="shared" si="0"/>
        <v>600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56"/>
    </row>
    <row r="31" spans="1:22" x14ac:dyDescent="0.25">
      <c r="A31" s="25">
        <v>20</v>
      </c>
      <c r="B31" s="23"/>
      <c r="C31" s="39" t="s">
        <v>280</v>
      </c>
      <c r="D31" s="23"/>
      <c r="E31" s="36">
        <v>25</v>
      </c>
      <c r="F31" s="36" t="s">
        <v>152</v>
      </c>
      <c r="G31" s="95">
        <v>315</v>
      </c>
      <c r="H31" s="165">
        <f t="shared" si="0"/>
        <v>7875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6"/>
    </row>
    <row r="32" spans="1:22" x14ac:dyDescent="0.25">
      <c r="A32" s="25">
        <v>21</v>
      </c>
      <c r="B32" s="23"/>
      <c r="C32" s="39" t="s">
        <v>281</v>
      </c>
      <c r="D32" s="23"/>
      <c r="E32" s="36">
        <v>40</v>
      </c>
      <c r="F32" s="36" t="s">
        <v>152</v>
      </c>
      <c r="G32" s="95">
        <v>265</v>
      </c>
      <c r="H32" s="165">
        <f t="shared" si="0"/>
        <v>10600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56"/>
    </row>
    <row r="33" spans="1:22" x14ac:dyDescent="0.25">
      <c r="A33" s="25">
        <v>22</v>
      </c>
      <c r="B33" s="23"/>
      <c r="C33" s="39" t="s">
        <v>282</v>
      </c>
      <c r="D33" s="23"/>
      <c r="E33" s="36">
        <v>95</v>
      </c>
      <c r="F33" s="36" t="s">
        <v>152</v>
      </c>
      <c r="G33" s="95">
        <v>115</v>
      </c>
      <c r="H33" s="165">
        <f t="shared" si="0"/>
        <v>10925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56"/>
    </row>
    <row r="34" spans="1:22" x14ac:dyDescent="0.25">
      <c r="A34" s="25">
        <v>23</v>
      </c>
      <c r="B34" s="23"/>
      <c r="C34" s="39" t="s">
        <v>283</v>
      </c>
      <c r="D34" s="23"/>
      <c r="E34" s="36">
        <v>30</v>
      </c>
      <c r="F34" s="23" t="s">
        <v>309</v>
      </c>
      <c r="G34" s="95">
        <v>90</v>
      </c>
      <c r="H34" s="165">
        <f t="shared" si="0"/>
        <v>2700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56"/>
    </row>
    <row r="35" spans="1:22" x14ac:dyDescent="0.25">
      <c r="A35" s="25">
        <v>24</v>
      </c>
      <c r="B35" s="23"/>
      <c r="C35" s="39" t="s">
        <v>284</v>
      </c>
      <c r="D35" s="23"/>
      <c r="E35" s="36">
        <v>48</v>
      </c>
      <c r="F35" s="23" t="s">
        <v>309</v>
      </c>
      <c r="G35" s="95">
        <v>235</v>
      </c>
      <c r="H35" s="165">
        <f t="shared" si="0"/>
        <v>11280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56"/>
    </row>
    <row r="36" spans="1:22" x14ac:dyDescent="0.25">
      <c r="A36" s="25">
        <v>25</v>
      </c>
      <c r="B36" s="23"/>
      <c r="C36" s="39" t="s">
        <v>285</v>
      </c>
      <c r="D36" s="23"/>
      <c r="E36" s="36">
        <v>30</v>
      </c>
      <c r="F36" s="36" t="s">
        <v>567</v>
      </c>
      <c r="G36" s="95">
        <v>115</v>
      </c>
      <c r="H36" s="165">
        <f t="shared" si="0"/>
        <v>3450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56"/>
    </row>
    <row r="37" spans="1:22" x14ac:dyDescent="0.25">
      <c r="A37" s="25">
        <v>26</v>
      </c>
      <c r="B37" s="23"/>
      <c r="C37" s="14" t="s">
        <v>292</v>
      </c>
      <c r="D37" s="23"/>
      <c r="E37" s="36"/>
      <c r="F37" s="36"/>
      <c r="G37" s="95"/>
      <c r="H37" s="16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56"/>
    </row>
    <row r="38" spans="1:22" x14ac:dyDescent="0.25">
      <c r="A38" s="25">
        <v>27</v>
      </c>
      <c r="B38" s="23"/>
      <c r="C38" s="1" t="s">
        <v>254</v>
      </c>
      <c r="D38" s="23"/>
      <c r="E38" s="2">
        <f>5*3</f>
        <v>15</v>
      </c>
      <c r="F38" s="23" t="s">
        <v>309</v>
      </c>
      <c r="G38" s="96">
        <v>105</v>
      </c>
      <c r="H38" s="165">
        <f>E38*G38</f>
        <v>1575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56"/>
    </row>
    <row r="39" spans="1:22" x14ac:dyDescent="0.25">
      <c r="A39" s="25">
        <v>28</v>
      </c>
      <c r="B39" s="23"/>
      <c r="C39" s="1" t="s">
        <v>287</v>
      </c>
      <c r="D39" s="23"/>
      <c r="E39" s="8">
        <f>10*3</f>
        <v>30</v>
      </c>
      <c r="F39" s="8" t="s">
        <v>152</v>
      </c>
      <c r="G39" s="96">
        <v>25</v>
      </c>
      <c r="H39" s="165">
        <f>E39*G39</f>
        <v>750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56"/>
    </row>
    <row r="40" spans="1:22" x14ac:dyDescent="0.25">
      <c r="A40" s="25">
        <v>29</v>
      </c>
      <c r="B40" s="23"/>
      <c r="C40" s="1" t="s">
        <v>288</v>
      </c>
      <c r="D40" s="23"/>
      <c r="E40" s="8">
        <f>5*3</f>
        <v>15</v>
      </c>
      <c r="F40" s="8" t="s">
        <v>290</v>
      </c>
      <c r="G40" s="96">
        <v>235</v>
      </c>
      <c r="H40" s="165">
        <f>E40*G40</f>
        <v>3525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56"/>
    </row>
    <row r="41" spans="1:22" x14ac:dyDescent="0.25">
      <c r="A41" s="25">
        <v>30</v>
      </c>
      <c r="B41" s="23"/>
      <c r="C41" s="1" t="s">
        <v>289</v>
      </c>
      <c r="D41" s="23"/>
      <c r="E41" s="8">
        <f>4*3</f>
        <v>12</v>
      </c>
      <c r="F41" s="8" t="s">
        <v>291</v>
      </c>
      <c r="G41" s="96">
        <v>380</v>
      </c>
      <c r="H41" s="165">
        <f>E41*G41</f>
        <v>4560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56"/>
    </row>
    <row r="42" spans="1:22" x14ac:dyDescent="0.25">
      <c r="A42" s="25">
        <v>31</v>
      </c>
      <c r="B42" s="23"/>
      <c r="C42" s="14" t="s">
        <v>56</v>
      </c>
      <c r="D42" s="23"/>
      <c r="E42" s="84"/>
      <c r="F42" s="23"/>
      <c r="G42" s="165"/>
      <c r="H42" s="16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56"/>
    </row>
    <row r="43" spans="1:22" x14ac:dyDescent="0.25">
      <c r="A43" s="25">
        <v>32</v>
      </c>
      <c r="B43" s="23"/>
      <c r="C43" s="93" t="s">
        <v>294</v>
      </c>
      <c r="D43" s="23"/>
      <c r="E43" s="23">
        <v>4</v>
      </c>
      <c r="F43" s="23" t="s">
        <v>152</v>
      </c>
      <c r="G43" s="97">
        <v>5350</v>
      </c>
      <c r="H43" s="165">
        <f>E43*G43</f>
        <v>21400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56"/>
    </row>
    <row r="44" spans="1:22" x14ac:dyDescent="0.25">
      <c r="A44" s="25">
        <v>33</v>
      </c>
      <c r="B44" s="23"/>
      <c r="C44" s="93" t="s">
        <v>295</v>
      </c>
      <c r="D44" s="23"/>
      <c r="E44" s="23">
        <v>4</v>
      </c>
      <c r="F44" s="23" t="s">
        <v>152</v>
      </c>
      <c r="G44" s="97">
        <v>1520</v>
      </c>
      <c r="H44" s="165">
        <f t="shared" ref="H44:H49" si="1">E44*G44</f>
        <v>6080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56"/>
    </row>
    <row r="45" spans="1:22" x14ac:dyDescent="0.25">
      <c r="A45" s="25">
        <v>34</v>
      </c>
      <c r="B45" s="23"/>
      <c r="C45" s="39" t="s">
        <v>296</v>
      </c>
      <c r="D45" s="23"/>
      <c r="E45" s="36">
        <v>12</v>
      </c>
      <c r="F45" s="8" t="s">
        <v>291</v>
      </c>
      <c r="G45" s="95">
        <v>385</v>
      </c>
      <c r="H45" s="165">
        <f t="shared" si="1"/>
        <v>4620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56"/>
    </row>
    <row r="46" spans="1:22" x14ac:dyDescent="0.25">
      <c r="A46" s="25">
        <v>35</v>
      </c>
      <c r="B46" s="23"/>
      <c r="C46" s="14" t="s">
        <v>57</v>
      </c>
      <c r="D46" s="23"/>
      <c r="E46" s="84"/>
      <c r="F46" s="23"/>
      <c r="G46" s="165"/>
      <c r="H46" s="165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56"/>
    </row>
    <row r="47" spans="1:22" x14ac:dyDescent="0.25">
      <c r="A47" s="25">
        <v>36</v>
      </c>
      <c r="B47" s="23"/>
      <c r="C47" s="39" t="s">
        <v>297</v>
      </c>
      <c r="D47" s="23"/>
      <c r="E47" s="36">
        <v>4</v>
      </c>
      <c r="F47" s="36" t="s">
        <v>300</v>
      </c>
      <c r="G47" s="53">
        <v>9975</v>
      </c>
      <c r="H47" s="165">
        <f t="shared" si="1"/>
        <v>39900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56"/>
    </row>
    <row r="48" spans="1:22" x14ac:dyDescent="0.25">
      <c r="A48" s="25">
        <v>37</v>
      </c>
      <c r="B48" s="23"/>
      <c r="C48" s="93" t="s">
        <v>298</v>
      </c>
      <c r="D48" s="23"/>
      <c r="E48" s="23">
        <v>4</v>
      </c>
      <c r="F48" s="23" t="s">
        <v>300</v>
      </c>
      <c r="G48" s="97">
        <v>10900</v>
      </c>
      <c r="H48" s="165">
        <f t="shared" si="1"/>
        <v>43600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56"/>
    </row>
    <row r="49" spans="1:22" x14ac:dyDescent="0.25">
      <c r="A49" s="25">
        <v>38</v>
      </c>
      <c r="B49" s="23"/>
      <c r="C49" s="93" t="s">
        <v>299</v>
      </c>
      <c r="D49" s="23"/>
      <c r="E49" s="23">
        <v>4</v>
      </c>
      <c r="F49" s="23" t="s">
        <v>300</v>
      </c>
      <c r="G49" s="97">
        <v>8900</v>
      </c>
      <c r="H49" s="165">
        <f t="shared" si="1"/>
        <v>35600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56"/>
    </row>
    <row r="50" spans="1:22" x14ac:dyDescent="0.25">
      <c r="A50" s="25">
        <v>39</v>
      </c>
      <c r="B50" s="23"/>
      <c r="C50" s="14"/>
      <c r="D50" s="23"/>
      <c r="E50" s="84"/>
      <c r="F50" s="23"/>
      <c r="G50" s="165"/>
      <c r="H50" s="16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56"/>
    </row>
    <row r="51" spans="1:22" ht="30" x14ac:dyDescent="0.25">
      <c r="A51" s="25">
        <v>40</v>
      </c>
      <c r="B51" s="89" t="s">
        <v>50</v>
      </c>
      <c r="C51" s="90" t="s">
        <v>60</v>
      </c>
      <c r="D51" s="89" t="s">
        <v>27</v>
      </c>
      <c r="E51" s="89"/>
      <c r="F51" s="89"/>
      <c r="G51" s="163"/>
      <c r="H51" s="164">
        <v>1147622</v>
      </c>
      <c r="I51" s="89" t="s">
        <v>52</v>
      </c>
      <c r="J51" s="60"/>
      <c r="K51" s="60"/>
      <c r="L51" s="60"/>
      <c r="M51" s="60"/>
      <c r="N51" s="60">
        <v>1</v>
      </c>
      <c r="O51" s="60"/>
      <c r="P51" s="60"/>
      <c r="Q51" s="60"/>
      <c r="R51" s="60"/>
      <c r="S51" s="60"/>
      <c r="T51" s="60"/>
      <c r="U51" s="60"/>
      <c r="V51" s="56"/>
    </row>
    <row r="52" spans="1:22" x14ac:dyDescent="0.25">
      <c r="A52" s="25">
        <v>41</v>
      </c>
      <c r="B52" s="23"/>
      <c r="C52" s="14" t="s">
        <v>301</v>
      </c>
      <c r="D52" s="23"/>
      <c r="E52" s="84"/>
      <c r="F52" s="23"/>
      <c r="G52" s="165"/>
      <c r="H52" s="165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56"/>
    </row>
    <row r="53" spans="1:22" x14ac:dyDescent="0.25">
      <c r="A53" s="25">
        <v>42</v>
      </c>
      <c r="B53" s="23"/>
      <c r="C53" s="61" t="s">
        <v>303</v>
      </c>
      <c r="D53" s="23"/>
      <c r="E53" s="84">
        <f>25*10</f>
        <v>250</v>
      </c>
      <c r="F53" s="25" t="s">
        <v>37</v>
      </c>
      <c r="G53" s="166">
        <v>120</v>
      </c>
      <c r="H53" s="165">
        <f>E53*G53</f>
        <v>30000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6"/>
    </row>
    <row r="54" spans="1:22" x14ac:dyDescent="0.25">
      <c r="A54" s="25">
        <v>43</v>
      </c>
      <c r="B54" s="23"/>
      <c r="C54" s="61" t="s">
        <v>247</v>
      </c>
      <c r="D54" s="23"/>
      <c r="E54" s="84">
        <f>25*10</f>
        <v>250</v>
      </c>
      <c r="F54" s="25" t="s">
        <v>37</v>
      </c>
      <c r="G54" s="166">
        <v>180</v>
      </c>
      <c r="H54" s="165">
        <f>E54*G54</f>
        <v>45000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6"/>
    </row>
    <row r="55" spans="1:22" x14ac:dyDescent="0.25">
      <c r="A55" s="25">
        <v>44</v>
      </c>
      <c r="B55" s="23"/>
      <c r="C55" s="61" t="s">
        <v>302</v>
      </c>
      <c r="D55" s="23"/>
      <c r="E55" s="84">
        <f>25*10</f>
        <v>250</v>
      </c>
      <c r="F55" s="25" t="s">
        <v>37</v>
      </c>
      <c r="G55" s="166">
        <v>120</v>
      </c>
      <c r="H55" s="165">
        <f>E55*G55</f>
        <v>30000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56"/>
    </row>
    <row r="56" spans="1:22" x14ac:dyDescent="0.25">
      <c r="A56" s="25">
        <v>45</v>
      </c>
      <c r="B56" s="23"/>
      <c r="C56" s="14" t="s">
        <v>267</v>
      </c>
      <c r="D56" s="23"/>
      <c r="E56" s="84"/>
      <c r="F56" s="23"/>
      <c r="G56" s="165"/>
      <c r="H56" s="165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56"/>
    </row>
    <row r="57" spans="1:22" x14ac:dyDescent="0.25">
      <c r="A57" s="25">
        <v>46</v>
      </c>
      <c r="B57" s="23"/>
      <c r="C57" s="61" t="s">
        <v>304</v>
      </c>
      <c r="D57" s="23"/>
      <c r="E57" s="25">
        <v>40</v>
      </c>
      <c r="F57" s="23" t="s">
        <v>309</v>
      </c>
      <c r="G57" s="166">
        <v>50</v>
      </c>
      <c r="H57" s="165">
        <f t="shared" ref="H57:H62" si="2">E57*G57</f>
        <v>2000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56"/>
    </row>
    <row r="58" spans="1:22" x14ac:dyDescent="0.25">
      <c r="A58" s="25">
        <v>47</v>
      </c>
      <c r="B58" s="23"/>
      <c r="C58" s="61" t="s">
        <v>278</v>
      </c>
      <c r="D58" s="23"/>
      <c r="E58" s="25">
        <v>125</v>
      </c>
      <c r="F58" s="25" t="s">
        <v>152</v>
      </c>
      <c r="G58" s="166">
        <v>23.04</v>
      </c>
      <c r="H58" s="165">
        <f t="shared" si="2"/>
        <v>2880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56"/>
    </row>
    <row r="59" spans="1:22" x14ac:dyDescent="0.25">
      <c r="A59" s="25">
        <v>48</v>
      </c>
      <c r="B59" s="23"/>
      <c r="C59" s="61" t="s">
        <v>305</v>
      </c>
      <c r="D59" s="23"/>
      <c r="E59" s="25">
        <v>125</v>
      </c>
      <c r="F59" s="25" t="s">
        <v>152</v>
      </c>
      <c r="G59" s="166">
        <v>15.36</v>
      </c>
      <c r="H59" s="165">
        <f t="shared" si="2"/>
        <v>1920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56"/>
    </row>
    <row r="60" spans="1:22" x14ac:dyDescent="0.25">
      <c r="A60" s="25">
        <v>49</v>
      </c>
      <c r="B60" s="23"/>
      <c r="C60" s="61" t="s">
        <v>306</v>
      </c>
      <c r="D60" s="23"/>
      <c r="E60" s="25">
        <v>125</v>
      </c>
      <c r="F60" s="25" t="s">
        <v>310</v>
      </c>
      <c r="G60" s="166">
        <v>13.6</v>
      </c>
      <c r="H60" s="165">
        <f t="shared" si="2"/>
        <v>1700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56"/>
    </row>
    <row r="61" spans="1:22" x14ac:dyDescent="0.25">
      <c r="A61" s="25">
        <v>50</v>
      </c>
      <c r="B61" s="23"/>
      <c r="C61" s="61" t="s">
        <v>307</v>
      </c>
      <c r="D61" s="23"/>
      <c r="E61" s="25">
        <v>20</v>
      </c>
      <c r="F61" s="23" t="s">
        <v>309</v>
      </c>
      <c r="G61" s="166">
        <v>250</v>
      </c>
      <c r="H61" s="165">
        <f t="shared" si="2"/>
        <v>5000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56"/>
    </row>
    <row r="62" spans="1:22" x14ac:dyDescent="0.25">
      <c r="A62" s="25">
        <v>51</v>
      </c>
      <c r="B62" s="23"/>
      <c r="C62" s="61" t="s">
        <v>308</v>
      </c>
      <c r="D62" s="23"/>
      <c r="E62" s="25">
        <v>125</v>
      </c>
      <c r="F62" s="25" t="s">
        <v>310</v>
      </c>
      <c r="G62" s="166">
        <v>175</v>
      </c>
      <c r="H62" s="165">
        <f t="shared" si="2"/>
        <v>21875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56"/>
    </row>
    <row r="63" spans="1:22" x14ac:dyDescent="0.25">
      <c r="A63" s="25">
        <v>52</v>
      </c>
      <c r="B63" s="23"/>
      <c r="C63" s="61" t="s">
        <v>311</v>
      </c>
      <c r="D63" s="23"/>
      <c r="E63" s="25"/>
      <c r="F63" s="25"/>
      <c r="G63" s="166"/>
      <c r="H63" s="165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56"/>
    </row>
    <row r="64" spans="1:22" x14ac:dyDescent="0.25">
      <c r="A64" s="25">
        <v>53</v>
      </c>
      <c r="B64" s="23"/>
      <c r="C64" s="16" t="s">
        <v>312</v>
      </c>
      <c r="D64" s="23"/>
      <c r="E64" s="25">
        <v>3</v>
      </c>
      <c r="F64" s="36" t="s">
        <v>152</v>
      </c>
      <c r="G64" s="166">
        <v>45000</v>
      </c>
      <c r="H64" s="165">
        <f>E64*G64</f>
        <v>135000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56"/>
    </row>
    <row r="65" spans="1:22" ht="28.5" x14ac:dyDescent="0.25">
      <c r="A65" s="25">
        <v>54</v>
      </c>
      <c r="B65" s="23"/>
      <c r="C65" s="14" t="s">
        <v>335</v>
      </c>
      <c r="D65" s="23"/>
      <c r="E65" s="25">
        <v>3</v>
      </c>
      <c r="F65" s="36" t="s">
        <v>152</v>
      </c>
      <c r="G65" s="166">
        <v>42724</v>
      </c>
      <c r="H65" s="165">
        <f t="shared" ref="H65:H75" si="3">E65*G65</f>
        <v>128172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56"/>
    </row>
    <row r="66" spans="1:22" ht="28.5" x14ac:dyDescent="0.25">
      <c r="A66" s="25">
        <v>55</v>
      </c>
      <c r="B66" s="23"/>
      <c r="C66" s="14" t="s">
        <v>336</v>
      </c>
      <c r="D66" s="23"/>
      <c r="E66" s="25">
        <v>3</v>
      </c>
      <c r="F66" s="36" t="s">
        <v>152</v>
      </c>
      <c r="G66" s="166">
        <v>43334</v>
      </c>
      <c r="H66" s="165">
        <f t="shared" si="3"/>
        <v>130002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56"/>
    </row>
    <row r="67" spans="1:22" x14ac:dyDescent="0.25">
      <c r="A67" s="25">
        <v>56</v>
      </c>
      <c r="B67" s="23"/>
      <c r="C67" s="14" t="s">
        <v>313</v>
      </c>
      <c r="D67" s="23"/>
      <c r="E67" s="25">
        <v>3</v>
      </c>
      <c r="F67" s="36" t="s">
        <v>152</v>
      </c>
      <c r="G67" s="166">
        <v>9369</v>
      </c>
      <c r="H67" s="165">
        <f t="shared" si="3"/>
        <v>28107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56"/>
    </row>
    <row r="68" spans="1:22" x14ac:dyDescent="0.25">
      <c r="A68" s="25">
        <v>57</v>
      </c>
      <c r="B68" s="23"/>
      <c r="C68" s="14" t="s">
        <v>314</v>
      </c>
      <c r="D68" s="23"/>
      <c r="E68" s="25">
        <v>3</v>
      </c>
      <c r="F68" s="36" t="s">
        <v>152</v>
      </c>
      <c r="G68" s="166">
        <v>3795</v>
      </c>
      <c r="H68" s="165">
        <f t="shared" si="3"/>
        <v>11385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56"/>
    </row>
    <row r="69" spans="1:22" x14ac:dyDescent="0.25">
      <c r="A69" s="25">
        <v>58</v>
      </c>
      <c r="B69" s="23"/>
      <c r="C69" s="14" t="s">
        <v>315</v>
      </c>
      <c r="D69" s="23"/>
      <c r="E69" s="25">
        <v>3</v>
      </c>
      <c r="F69" s="36" t="s">
        <v>152</v>
      </c>
      <c r="G69" s="166">
        <v>4500</v>
      </c>
      <c r="H69" s="165">
        <f t="shared" si="3"/>
        <v>13500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56"/>
    </row>
    <row r="70" spans="1:22" x14ac:dyDescent="0.25">
      <c r="A70" s="25">
        <v>59</v>
      </c>
      <c r="B70" s="23"/>
      <c r="C70" s="14" t="s">
        <v>316</v>
      </c>
      <c r="D70" s="23"/>
      <c r="E70" s="25">
        <v>3</v>
      </c>
      <c r="F70" s="36" t="s">
        <v>152</v>
      </c>
      <c r="G70" s="166">
        <v>44950</v>
      </c>
      <c r="H70" s="165">
        <f t="shared" si="3"/>
        <v>134850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56"/>
    </row>
    <row r="71" spans="1:22" ht="28.5" x14ac:dyDescent="0.25">
      <c r="A71" s="25">
        <v>60</v>
      </c>
      <c r="B71" s="23"/>
      <c r="C71" s="14" t="s">
        <v>317</v>
      </c>
      <c r="D71" s="23"/>
      <c r="E71" s="25">
        <v>3</v>
      </c>
      <c r="F71" s="36" t="s">
        <v>152</v>
      </c>
      <c r="G71" s="166">
        <v>34880</v>
      </c>
      <c r="H71" s="165">
        <f t="shared" si="3"/>
        <v>104640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56"/>
    </row>
    <row r="72" spans="1:22" ht="28.5" x14ac:dyDescent="0.25">
      <c r="A72" s="25">
        <v>61</v>
      </c>
      <c r="B72" s="23"/>
      <c r="C72" s="14" t="s">
        <v>318</v>
      </c>
      <c r="D72" s="23"/>
      <c r="E72" s="25">
        <v>3</v>
      </c>
      <c r="F72" s="36" t="s">
        <v>152</v>
      </c>
      <c r="G72" s="166">
        <v>3185</v>
      </c>
      <c r="H72" s="165">
        <f t="shared" si="3"/>
        <v>9555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56"/>
    </row>
    <row r="73" spans="1:22" ht="28.5" x14ac:dyDescent="0.25">
      <c r="A73" s="25">
        <v>62</v>
      </c>
      <c r="B73" s="23"/>
      <c r="C73" s="14" t="s">
        <v>319</v>
      </c>
      <c r="D73" s="23"/>
      <c r="E73" s="25">
        <v>3</v>
      </c>
      <c r="F73" s="36" t="s">
        <v>152</v>
      </c>
      <c r="G73" s="166">
        <v>29800</v>
      </c>
      <c r="H73" s="165">
        <f t="shared" si="3"/>
        <v>89400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56"/>
    </row>
    <row r="74" spans="1:22" x14ac:dyDescent="0.25">
      <c r="A74" s="25">
        <v>63</v>
      </c>
      <c r="B74" s="23"/>
      <c r="C74" s="14" t="s">
        <v>320</v>
      </c>
      <c r="D74" s="23"/>
      <c r="E74" s="25">
        <v>3</v>
      </c>
      <c r="F74" s="36" t="s">
        <v>152</v>
      </c>
      <c r="G74" s="166">
        <v>6760</v>
      </c>
      <c r="H74" s="165">
        <f t="shared" si="3"/>
        <v>20280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56"/>
    </row>
    <row r="75" spans="1:22" x14ac:dyDescent="0.25">
      <c r="A75" s="25">
        <v>64</v>
      </c>
      <c r="B75" s="23"/>
      <c r="C75" s="14" t="s">
        <v>321</v>
      </c>
      <c r="D75" s="23"/>
      <c r="E75" s="25">
        <v>3</v>
      </c>
      <c r="F75" s="36" t="s">
        <v>152</v>
      </c>
      <c r="G75" s="166">
        <v>1989</v>
      </c>
      <c r="H75" s="165">
        <f t="shared" si="3"/>
        <v>5967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56"/>
    </row>
    <row r="76" spans="1:22" x14ac:dyDescent="0.25">
      <c r="A76" s="25">
        <v>65</v>
      </c>
      <c r="B76" s="23"/>
      <c r="C76" s="62" t="s">
        <v>322</v>
      </c>
      <c r="D76" s="23"/>
      <c r="E76" s="25"/>
      <c r="F76" s="25"/>
      <c r="G76" s="166"/>
      <c r="H76" s="16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56"/>
    </row>
    <row r="77" spans="1:22" x14ac:dyDescent="0.25">
      <c r="A77" s="25">
        <v>66</v>
      </c>
      <c r="B77" s="23"/>
      <c r="C77" s="14" t="s">
        <v>323</v>
      </c>
      <c r="D77" s="23"/>
      <c r="E77" s="25">
        <v>3</v>
      </c>
      <c r="F77" s="36" t="s">
        <v>152</v>
      </c>
      <c r="G77" s="166">
        <v>13960</v>
      </c>
      <c r="H77" s="165">
        <f>E77*G77</f>
        <v>41880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56"/>
    </row>
    <row r="78" spans="1:22" x14ac:dyDescent="0.25">
      <c r="A78" s="25">
        <v>67</v>
      </c>
      <c r="B78" s="23"/>
      <c r="C78" s="16" t="s">
        <v>324</v>
      </c>
      <c r="D78" s="23"/>
      <c r="E78" s="25">
        <v>3</v>
      </c>
      <c r="F78" s="36" t="s">
        <v>152</v>
      </c>
      <c r="G78" s="166">
        <v>9784</v>
      </c>
      <c r="H78" s="165">
        <f t="shared" ref="H78:H88" si="4">E78*G78</f>
        <v>29352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56"/>
    </row>
    <row r="79" spans="1:22" x14ac:dyDescent="0.25">
      <c r="A79" s="25">
        <v>68</v>
      </c>
      <c r="B79" s="23"/>
      <c r="C79" s="16" t="s">
        <v>325</v>
      </c>
      <c r="D79" s="23"/>
      <c r="E79" s="25">
        <v>3</v>
      </c>
      <c r="F79" s="36" t="s">
        <v>152</v>
      </c>
      <c r="G79" s="166">
        <v>6825</v>
      </c>
      <c r="H79" s="165">
        <f t="shared" si="4"/>
        <v>20475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56"/>
    </row>
    <row r="80" spans="1:22" x14ac:dyDescent="0.25">
      <c r="A80" s="25">
        <v>69</v>
      </c>
      <c r="B80" s="23"/>
      <c r="C80" s="16" t="s">
        <v>326</v>
      </c>
      <c r="D80" s="23"/>
      <c r="E80" s="25">
        <v>3</v>
      </c>
      <c r="F80" s="36" t="s">
        <v>152</v>
      </c>
      <c r="G80" s="166">
        <v>6110</v>
      </c>
      <c r="H80" s="165">
        <f t="shared" si="4"/>
        <v>18330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56"/>
    </row>
    <row r="81" spans="1:22" x14ac:dyDescent="0.25">
      <c r="A81" s="25">
        <v>70</v>
      </c>
      <c r="B81" s="23"/>
      <c r="C81" s="16" t="s">
        <v>327</v>
      </c>
      <c r="D81" s="23"/>
      <c r="E81" s="25">
        <v>3</v>
      </c>
      <c r="F81" s="36" t="s">
        <v>152</v>
      </c>
      <c r="G81" s="166">
        <v>4485</v>
      </c>
      <c r="H81" s="165">
        <f t="shared" si="4"/>
        <v>13455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56"/>
    </row>
    <row r="82" spans="1:22" x14ac:dyDescent="0.25">
      <c r="A82" s="25">
        <v>71</v>
      </c>
      <c r="B82" s="23"/>
      <c r="C82" s="16" t="s">
        <v>328</v>
      </c>
      <c r="D82" s="23"/>
      <c r="E82" s="25">
        <v>3</v>
      </c>
      <c r="F82" s="36" t="s">
        <v>152</v>
      </c>
      <c r="G82" s="166">
        <v>7628</v>
      </c>
      <c r="H82" s="165">
        <f t="shared" si="4"/>
        <v>22884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56"/>
    </row>
    <row r="83" spans="1:22" x14ac:dyDescent="0.25">
      <c r="A83" s="25">
        <v>72</v>
      </c>
      <c r="B83" s="23"/>
      <c r="C83" s="16" t="s">
        <v>329</v>
      </c>
      <c r="D83" s="23"/>
      <c r="E83" s="25">
        <v>3</v>
      </c>
      <c r="F83" s="36" t="s">
        <v>152</v>
      </c>
      <c r="G83" s="166">
        <v>5250</v>
      </c>
      <c r="H83" s="165">
        <f t="shared" si="4"/>
        <v>15750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56"/>
    </row>
    <row r="84" spans="1:22" x14ac:dyDescent="0.25">
      <c r="A84" s="25">
        <v>73</v>
      </c>
      <c r="B84" s="23"/>
      <c r="C84" s="16" t="s">
        <v>330</v>
      </c>
      <c r="D84" s="23"/>
      <c r="E84" s="25">
        <v>3</v>
      </c>
      <c r="F84" s="36" t="s">
        <v>152</v>
      </c>
      <c r="G84" s="166">
        <v>3367</v>
      </c>
      <c r="H84" s="165">
        <f t="shared" si="4"/>
        <v>10101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56"/>
    </row>
    <row r="85" spans="1:22" x14ac:dyDescent="0.25">
      <c r="A85" s="25">
        <v>74</v>
      </c>
      <c r="B85" s="23"/>
      <c r="C85" s="16" t="s">
        <v>331</v>
      </c>
      <c r="D85" s="23"/>
      <c r="E85" s="25">
        <v>3</v>
      </c>
      <c r="F85" s="36" t="s">
        <v>152</v>
      </c>
      <c r="G85" s="166">
        <v>2080</v>
      </c>
      <c r="H85" s="165">
        <f t="shared" si="4"/>
        <v>6240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56"/>
    </row>
    <row r="86" spans="1:22" x14ac:dyDescent="0.25">
      <c r="A86" s="25">
        <v>75</v>
      </c>
      <c r="B86" s="23"/>
      <c r="C86" s="16" t="s">
        <v>332</v>
      </c>
      <c r="D86" s="23"/>
      <c r="E86" s="25">
        <v>3</v>
      </c>
      <c r="F86" s="36" t="s">
        <v>152</v>
      </c>
      <c r="G86" s="166">
        <v>2105</v>
      </c>
      <c r="H86" s="165">
        <f t="shared" si="4"/>
        <v>6315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56"/>
    </row>
    <row r="87" spans="1:22" x14ac:dyDescent="0.25">
      <c r="A87" s="25">
        <v>76</v>
      </c>
      <c r="B87" s="23"/>
      <c r="C87" s="16" t="s">
        <v>333</v>
      </c>
      <c r="D87" s="23"/>
      <c r="E87" s="25">
        <v>3</v>
      </c>
      <c r="F87" s="36" t="s">
        <v>152</v>
      </c>
      <c r="G87" s="166">
        <v>3104</v>
      </c>
      <c r="H87" s="165">
        <f t="shared" si="4"/>
        <v>9312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56"/>
    </row>
    <row r="88" spans="1:22" x14ac:dyDescent="0.25">
      <c r="A88" s="25">
        <v>77</v>
      </c>
      <c r="B88" s="23"/>
      <c r="C88" s="16" t="s">
        <v>334</v>
      </c>
      <c r="D88" s="23"/>
      <c r="E88" s="25">
        <v>3</v>
      </c>
      <c r="F88" s="36" t="s">
        <v>152</v>
      </c>
      <c r="G88" s="166">
        <v>765</v>
      </c>
      <c r="H88" s="165">
        <f t="shared" si="4"/>
        <v>2295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56"/>
    </row>
    <row r="89" spans="1:22" x14ac:dyDescent="0.25">
      <c r="A89" s="25">
        <v>78</v>
      </c>
      <c r="B89" s="23"/>
      <c r="C89" s="14"/>
      <c r="D89" s="23"/>
      <c r="E89" s="84"/>
      <c r="F89" s="23"/>
      <c r="G89" s="165"/>
      <c r="H89" s="165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56"/>
    </row>
    <row r="90" spans="1:22" ht="30" x14ac:dyDescent="0.25">
      <c r="A90" s="25">
        <v>79</v>
      </c>
      <c r="B90" s="89" t="s">
        <v>50</v>
      </c>
      <c r="C90" s="90" t="s">
        <v>59</v>
      </c>
      <c r="D90" s="89" t="s">
        <v>27</v>
      </c>
      <c r="E90" s="89"/>
      <c r="F90" s="89"/>
      <c r="G90" s="163"/>
      <c r="H90" s="164">
        <v>606993.5</v>
      </c>
      <c r="I90" s="89" t="s">
        <v>52</v>
      </c>
      <c r="J90" s="60"/>
      <c r="K90" s="60">
        <v>1</v>
      </c>
      <c r="L90" s="60"/>
      <c r="M90" s="60"/>
      <c r="N90" s="60">
        <v>1</v>
      </c>
      <c r="O90" s="60"/>
      <c r="P90" s="60">
        <v>1</v>
      </c>
      <c r="Q90" s="60"/>
      <c r="R90" s="60"/>
      <c r="S90" s="60">
        <v>1</v>
      </c>
      <c r="T90" s="60"/>
      <c r="U90" s="60"/>
      <c r="V90" s="56"/>
    </row>
    <row r="91" spans="1:22" x14ac:dyDescent="0.25">
      <c r="A91" s="25">
        <v>80</v>
      </c>
      <c r="B91" s="23"/>
      <c r="C91" s="14" t="s">
        <v>542</v>
      </c>
      <c r="D91" s="23"/>
      <c r="E91" s="84">
        <v>1</v>
      </c>
      <c r="F91" s="23" t="s">
        <v>145</v>
      </c>
      <c r="G91" s="165">
        <v>16600</v>
      </c>
      <c r="H91" s="165">
        <v>16600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56"/>
    </row>
    <row r="92" spans="1:22" x14ac:dyDescent="0.25">
      <c r="A92" s="25">
        <v>81</v>
      </c>
      <c r="B92" s="23"/>
      <c r="C92" s="14" t="s">
        <v>543</v>
      </c>
      <c r="D92" s="23"/>
      <c r="E92" s="84">
        <v>1</v>
      </c>
      <c r="F92" s="23" t="s">
        <v>145</v>
      </c>
      <c r="G92" s="165">
        <v>16120</v>
      </c>
      <c r="H92" s="165">
        <v>16120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56"/>
    </row>
    <row r="93" spans="1:22" x14ac:dyDescent="0.25">
      <c r="A93" s="25">
        <v>82</v>
      </c>
      <c r="B93" s="23"/>
      <c r="C93" s="14" t="s">
        <v>544</v>
      </c>
      <c r="D93" s="23"/>
      <c r="E93" s="84">
        <v>1</v>
      </c>
      <c r="F93" s="23" t="s">
        <v>145</v>
      </c>
      <c r="G93" s="165">
        <v>15250</v>
      </c>
      <c r="H93" s="165">
        <v>15250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56"/>
    </row>
    <row r="94" spans="1:22" x14ac:dyDescent="0.25">
      <c r="A94" s="25">
        <v>83</v>
      </c>
      <c r="B94" s="23"/>
      <c r="C94" s="14" t="s">
        <v>545</v>
      </c>
      <c r="D94" s="23"/>
      <c r="E94" s="84">
        <v>1</v>
      </c>
      <c r="F94" s="23" t="s">
        <v>145</v>
      </c>
      <c r="G94" s="165">
        <v>18030</v>
      </c>
      <c r="H94" s="165">
        <v>18030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56"/>
    </row>
    <row r="95" spans="1:22" x14ac:dyDescent="0.25">
      <c r="A95" s="25">
        <v>84</v>
      </c>
      <c r="B95" s="23"/>
      <c r="C95" s="14" t="s">
        <v>546</v>
      </c>
      <c r="D95" s="23"/>
      <c r="E95" s="84">
        <v>2</v>
      </c>
      <c r="F95" s="23" t="s">
        <v>152</v>
      </c>
      <c r="G95" s="165">
        <v>9840</v>
      </c>
      <c r="H95" s="165">
        <v>19680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56"/>
    </row>
    <row r="96" spans="1:22" x14ac:dyDescent="0.25">
      <c r="A96" s="25">
        <v>85</v>
      </c>
      <c r="B96" s="23"/>
      <c r="C96" s="14" t="s">
        <v>547</v>
      </c>
      <c r="D96" s="23"/>
      <c r="E96" s="84">
        <v>4</v>
      </c>
      <c r="F96" s="23" t="s">
        <v>152</v>
      </c>
      <c r="G96" s="165">
        <v>5730</v>
      </c>
      <c r="H96" s="165">
        <v>22920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56"/>
    </row>
    <row r="97" spans="1:22" ht="28.5" x14ac:dyDescent="0.25">
      <c r="A97" s="25">
        <v>86</v>
      </c>
      <c r="B97" s="23"/>
      <c r="C97" s="14" t="s">
        <v>548</v>
      </c>
      <c r="D97" s="23"/>
      <c r="E97" s="84">
        <v>35</v>
      </c>
      <c r="F97" s="23" t="s">
        <v>152</v>
      </c>
      <c r="G97" s="165">
        <v>4640</v>
      </c>
      <c r="H97" s="165">
        <v>162400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56"/>
    </row>
    <row r="98" spans="1:22" x14ac:dyDescent="0.25">
      <c r="A98" s="25">
        <v>87</v>
      </c>
      <c r="B98" s="23"/>
      <c r="C98" s="14" t="s">
        <v>549</v>
      </c>
      <c r="D98" s="23"/>
      <c r="E98" s="84">
        <v>2</v>
      </c>
      <c r="F98" s="23" t="s">
        <v>152</v>
      </c>
      <c r="G98" s="165">
        <v>17410</v>
      </c>
      <c r="H98" s="165">
        <v>34820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56"/>
    </row>
    <row r="99" spans="1:22" ht="28.5" x14ac:dyDescent="0.25">
      <c r="A99" s="25">
        <v>88</v>
      </c>
      <c r="B99" s="23"/>
      <c r="C99" s="14" t="s">
        <v>550</v>
      </c>
      <c r="D99" s="23"/>
      <c r="E99" s="84">
        <v>6</v>
      </c>
      <c r="F99" s="23" t="s">
        <v>37</v>
      </c>
      <c r="G99" s="165">
        <v>360</v>
      </c>
      <c r="H99" s="165">
        <v>2160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56"/>
    </row>
    <row r="100" spans="1:22" x14ac:dyDescent="0.25">
      <c r="A100" s="25">
        <v>89</v>
      </c>
      <c r="B100" s="23"/>
      <c r="C100" s="14" t="s">
        <v>551</v>
      </c>
      <c r="D100" s="23"/>
      <c r="E100" s="84">
        <v>2</v>
      </c>
      <c r="F100" s="23" t="s">
        <v>37</v>
      </c>
      <c r="G100" s="165">
        <v>2500</v>
      </c>
      <c r="H100" s="165">
        <v>5000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56"/>
    </row>
    <row r="101" spans="1:22" ht="28.5" x14ac:dyDescent="0.25">
      <c r="A101" s="25">
        <v>90</v>
      </c>
      <c r="B101" s="23"/>
      <c r="C101" s="14" t="s">
        <v>552</v>
      </c>
      <c r="D101" s="23"/>
      <c r="E101" s="84">
        <v>6</v>
      </c>
      <c r="F101" s="23" t="s">
        <v>37</v>
      </c>
      <c r="G101" s="165">
        <v>540</v>
      </c>
      <c r="H101" s="165">
        <v>3240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56"/>
    </row>
    <row r="102" spans="1:22" ht="28.5" x14ac:dyDescent="0.25">
      <c r="A102" s="25">
        <v>91</v>
      </c>
      <c r="B102" s="23"/>
      <c r="C102" s="14" t="s">
        <v>553</v>
      </c>
      <c r="D102" s="23"/>
      <c r="E102" s="84">
        <v>2</v>
      </c>
      <c r="F102" s="23" t="s">
        <v>37</v>
      </c>
      <c r="G102" s="165">
        <v>250</v>
      </c>
      <c r="H102" s="165">
        <v>500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56"/>
    </row>
    <row r="103" spans="1:22" ht="28.5" x14ac:dyDescent="0.25">
      <c r="A103" s="25">
        <v>92</v>
      </c>
      <c r="B103" s="23"/>
      <c r="C103" s="14" t="s">
        <v>554</v>
      </c>
      <c r="D103" s="23"/>
      <c r="E103" s="84">
        <v>6</v>
      </c>
      <c r="F103" s="23" t="s">
        <v>37</v>
      </c>
      <c r="G103" s="165">
        <v>360</v>
      </c>
      <c r="H103" s="165">
        <v>2160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56"/>
    </row>
    <row r="104" spans="1:22" ht="28.5" x14ac:dyDescent="0.25">
      <c r="A104" s="25">
        <v>93</v>
      </c>
      <c r="B104" s="23"/>
      <c r="C104" s="14" t="s">
        <v>555</v>
      </c>
      <c r="D104" s="23"/>
      <c r="E104" s="84">
        <v>52</v>
      </c>
      <c r="F104" s="23" t="s">
        <v>37</v>
      </c>
      <c r="G104" s="165">
        <v>600</v>
      </c>
      <c r="H104" s="165">
        <v>31200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56"/>
    </row>
    <row r="105" spans="1:22" ht="42.75" x14ac:dyDescent="0.25">
      <c r="A105" s="25">
        <v>94</v>
      </c>
      <c r="B105" s="23"/>
      <c r="C105" s="14" t="s">
        <v>556</v>
      </c>
      <c r="D105" s="23"/>
      <c r="E105" s="84">
        <v>108</v>
      </c>
      <c r="F105" s="23" t="s">
        <v>37</v>
      </c>
      <c r="G105" s="165">
        <v>360</v>
      </c>
      <c r="H105" s="165">
        <v>38880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56"/>
    </row>
    <row r="106" spans="1:22" ht="28.5" x14ac:dyDescent="0.25">
      <c r="A106" s="25">
        <v>95</v>
      </c>
      <c r="B106" s="23"/>
      <c r="C106" s="14" t="s">
        <v>557</v>
      </c>
      <c r="D106" s="23"/>
      <c r="E106" s="84">
        <v>108</v>
      </c>
      <c r="F106" s="23" t="s">
        <v>37</v>
      </c>
      <c r="G106" s="165">
        <v>540</v>
      </c>
      <c r="H106" s="165">
        <v>58320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56"/>
    </row>
    <row r="107" spans="1:22" ht="42.75" x14ac:dyDescent="0.25">
      <c r="A107" s="25">
        <v>96</v>
      </c>
      <c r="B107" s="23"/>
      <c r="C107" s="14" t="s">
        <v>558</v>
      </c>
      <c r="D107" s="23"/>
      <c r="E107" s="84">
        <v>108</v>
      </c>
      <c r="F107" s="23" t="s">
        <v>37</v>
      </c>
      <c r="G107" s="165">
        <v>360</v>
      </c>
      <c r="H107" s="165">
        <v>38880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56"/>
    </row>
    <row r="108" spans="1:22" x14ac:dyDescent="0.25">
      <c r="A108" s="25">
        <v>97</v>
      </c>
      <c r="B108" s="23"/>
      <c r="C108" s="14" t="s">
        <v>559</v>
      </c>
      <c r="D108" s="23"/>
      <c r="E108" s="84">
        <v>1</v>
      </c>
      <c r="F108" s="23" t="s">
        <v>407</v>
      </c>
      <c r="G108" s="165">
        <v>9000</v>
      </c>
      <c r="H108" s="165">
        <v>9000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56"/>
    </row>
    <row r="109" spans="1:22" ht="28.5" x14ac:dyDescent="0.25">
      <c r="A109" s="25">
        <v>98</v>
      </c>
      <c r="B109" s="23"/>
      <c r="C109" s="14" t="s">
        <v>560</v>
      </c>
      <c r="D109" s="23"/>
      <c r="E109" s="84">
        <v>2</v>
      </c>
      <c r="F109" s="23" t="s">
        <v>37</v>
      </c>
      <c r="G109" s="165">
        <v>6000</v>
      </c>
      <c r="H109" s="165">
        <v>12000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56"/>
    </row>
    <row r="110" spans="1:22" x14ac:dyDescent="0.25">
      <c r="A110" s="25">
        <v>99</v>
      </c>
      <c r="B110" s="23"/>
      <c r="C110" s="14" t="s">
        <v>561</v>
      </c>
      <c r="D110" s="23"/>
      <c r="E110" s="84">
        <v>84</v>
      </c>
      <c r="F110" s="23" t="s">
        <v>152</v>
      </c>
      <c r="G110" s="165">
        <v>75</v>
      </c>
      <c r="H110" s="165">
        <v>6300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56"/>
    </row>
    <row r="111" spans="1:22" x14ac:dyDescent="0.25">
      <c r="A111" s="25">
        <v>100</v>
      </c>
      <c r="B111" s="23"/>
      <c r="C111" s="14" t="s">
        <v>562</v>
      </c>
      <c r="D111" s="23"/>
      <c r="E111" s="84">
        <v>108</v>
      </c>
      <c r="F111" s="23" t="s">
        <v>152</v>
      </c>
      <c r="G111" s="165">
        <v>55</v>
      </c>
      <c r="H111" s="165">
        <v>5940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56"/>
    </row>
    <row r="112" spans="1:22" x14ac:dyDescent="0.25">
      <c r="A112" s="25">
        <v>101</v>
      </c>
      <c r="B112" s="23"/>
      <c r="C112" s="14" t="s">
        <v>563</v>
      </c>
      <c r="D112" s="23"/>
      <c r="E112" s="84">
        <v>108</v>
      </c>
      <c r="F112" s="23" t="s">
        <v>152</v>
      </c>
      <c r="G112" s="165">
        <v>35</v>
      </c>
      <c r="H112" s="165">
        <v>3780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56"/>
    </row>
    <row r="113" spans="1:22" x14ac:dyDescent="0.25">
      <c r="A113" s="25">
        <v>102</v>
      </c>
      <c r="B113" s="23"/>
      <c r="C113" s="14" t="s">
        <v>564</v>
      </c>
      <c r="D113" s="23"/>
      <c r="E113" s="84">
        <v>2</v>
      </c>
      <c r="F113" s="23" t="s">
        <v>309</v>
      </c>
      <c r="G113" s="165">
        <v>150</v>
      </c>
      <c r="H113" s="165">
        <v>300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56"/>
    </row>
    <row r="114" spans="1:22" x14ac:dyDescent="0.25">
      <c r="A114" s="25">
        <v>103</v>
      </c>
      <c r="B114" s="23"/>
      <c r="C114" s="14" t="s">
        <v>565</v>
      </c>
      <c r="D114" s="23"/>
      <c r="E114" s="84">
        <v>3</v>
      </c>
      <c r="F114" s="23" t="s">
        <v>152</v>
      </c>
      <c r="G114" s="165">
        <v>1350</v>
      </c>
      <c r="H114" s="165">
        <v>4050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56"/>
    </row>
    <row r="115" spans="1:22" x14ac:dyDescent="0.25">
      <c r="A115" s="25">
        <v>104</v>
      </c>
      <c r="B115" s="23"/>
      <c r="C115" s="14" t="s">
        <v>566</v>
      </c>
      <c r="D115" s="23"/>
      <c r="E115" s="84">
        <v>2</v>
      </c>
      <c r="F115" s="23" t="s">
        <v>567</v>
      </c>
      <c r="G115" s="165">
        <v>1375</v>
      </c>
      <c r="H115" s="165">
        <v>2750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56"/>
    </row>
    <row r="116" spans="1:22" x14ac:dyDescent="0.25">
      <c r="A116" s="25">
        <v>105</v>
      </c>
      <c r="B116" s="23"/>
      <c r="C116" s="14" t="s">
        <v>568</v>
      </c>
      <c r="D116" s="23"/>
      <c r="E116" s="84">
        <v>1</v>
      </c>
      <c r="F116" s="23" t="s">
        <v>262</v>
      </c>
      <c r="G116" s="165">
        <v>1475</v>
      </c>
      <c r="H116" s="165">
        <v>1475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56"/>
    </row>
    <row r="117" spans="1:22" x14ac:dyDescent="0.25">
      <c r="A117" s="25">
        <v>106</v>
      </c>
      <c r="B117" s="23"/>
      <c r="C117" s="14" t="s">
        <v>569</v>
      </c>
      <c r="D117" s="23"/>
      <c r="E117" s="84">
        <v>2</v>
      </c>
      <c r="F117" s="23" t="s">
        <v>309</v>
      </c>
      <c r="G117" s="165">
        <v>285</v>
      </c>
      <c r="H117" s="165">
        <v>570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56"/>
    </row>
    <row r="118" spans="1:22" x14ac:dyDescent="0.25">
      <c r="A118" s="25">
        <v>107</v>
      </c>
      <c r="B118" s="23"/>
      <c r="C118" s="14" t="s">
        <v>570</v>
      </c>
      <c r="D118" s="23"/>
      <c r="E118" s="84">
        <v>2</v>
      </c>
      <c r="F118" s="23" t="s">
        <v>571</v>
      </c>
      <c r="G118" s="165">
        <v>1600</v>
      </c>
      <c r="H118" s="165">
        <v>3200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56"/>
    </row>
    <row r="119" spans="1:22" x14ac:dyDescent="0.25">
      <c r="A119" s="25">
        <v>108</v>
      </c>
      <c r="B119" s="23"/>
      <c r="C119" s="14" t="s">
        <v>572</v>
      </c>
      <c r="D119" s="23"/>
      <c r="E119" s="84">
        <v>3</v>
      </c>
      <c r="F119" s="23" t="s">
        <v>37</v>
      </c>
      <c r="G119" s="165">
        <v>285</v>
      </c>
      <c r="H119" s="165">
        <v>855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56"/>
    </row>
    <row r="120" spans="1:22" x14ac:dyDescent="0.25">
      <c r="A120" s="25">
        <v>109</v>
      </c>
      <c r="B120" s="23"/>
      <c r="C120" s="14" t="s">
        <v>573</v>
      </c>
      <c r="D120" s="23"/>
      <c r="E120" s="84">
        <v>1</v>
      </c>
      <c r="F120" s="23" t="s">
        <v>181</v>
      </c>
      <c r="G120" s="165">
        <v>650</v>
      </c>
      <c r="H120" s="165">
        <v>650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56"/>
    </row>
    <row r="121" spans="1:22" ht="28.5" x14ac:dyDescent="0.25">
      <c r="A121" s="25">
        <v>110</v>
      </c>
      <c r="B121" s="23"/>
      <c r="C121" s="14" t="s">
        <v>574</v>
      </c>
      <c r="D121" s="23"/>
      <c r="E121" s="84">
        <v>35</v>
      </c>
      <c r="F121" s="23" t="s">
        <v>152</v>
      </c>
      <c r="G121" s="165">
        <v>750</v>
      </c>
      <c r="H121" s="165">
        <v>26250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56"/>
    </row>
    <row r="122" spans="1:22" x14ac:dyDescent="0.25">
      <c r="A122" s="25">
        <v>111</v>
      </c>
      <c r="B122" s="23"/>
      <c r="C122" s="14" t="s">
        <v>575</v>
      </c>
      <c r="D122" s="23"/>
      <c r="E122" s="84">
        <v>5</v>
      </c>
      <c r="F122" s="23" t="s">
        <v>567</v>
      </c>
      <c r="G122" s="165">
        <v>225</v>
      </c>
      <c r="H122" s="165">
        <v>1125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56"/>
    </row>
    <row r="123" spans="1:22" x14ac:dyDescent="0.25">
      <c r="A123" s="25">
        <v>112</v>
      </c>
      <c r="B123" s="23"/>
      <c r="C123" s="14" t="s">
        <v>576</v>
      </c>
      <c r="D123" s="23"/>
      <c r="E123" s="84">
        <v>3</v>
      </c>
      <c r="F123" s="23" t="s">
        <v>152</v>
      </c>
      <c r="G123" s="165">
        <v>185</v>
      </c>
      <c r="H123" s="165">
        <v>555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56"/>
    </row>
    <row r="124" spans="1:22" x14ac:dyDescent="0.25">
      <c r="A124" s="25">
        <v>113</v>
      </c>
      <c r="B124" s="23"/>
      <c r="C124" s="14" t="s">
        <v>577</v>
      </c>
      <c r="D124" s="23"/>
      <c r="E124" s="84">
        <v>1</v>
      </c>
      <c r="F124" s="23" t="s">
        <v>181</v>
      </c>
      <c r="G124" s="165">
        <v>550</v>
      </c>
      <c r="H124" s="165">
        <v>550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56"/>
    </row>
    <row r="125" spans="1:22" ht="42.75" x14ac:dyDescent="0.25">
      <c r="A125" s="25">
        <v>114</v>
      </c>
      <c r="B125" s="23"/>
      <c r="C125" s="14" t="s">
        <v>578</v>
      </c>
      <c r="D125" s="23"/>
      <c r="E125" s="84">
        <v>4</v>
      </c>
      <c r="F125" s="23" t="s">
        <v>571</v>
      </c>
      <c r="G125" s="165">
        <v>550</v>
      </c>
      <c r="H125" s="165">
        <v>2200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56"/>
    </row>
    <row r="126" spans="1:22" x14ac:dyDescent="0.25">
      <c r="A126" s="25">
        <v>115</v>
      </c>
      <c r="B126" s="23"/>
      <c r="C126" s="14" t="s">
        <v>497</v>
      </c>
      <c r="D126" s="23"/>
      <c r="E126" s="84">
        <v>6</v>
      </c>
      <c r="F126" s="23" t="s">
        <v>579</v>
      </c>
      <c r="G126" s="165">
        <v>15</v>
      </c>
      <c r="H126" s="165">
        <v>90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56"/>
    </row>
    <row r="127" spans="1:22" x14ac:dyDescent="0.25">
      <c r="A127" s="25">
        <v>116</v>
      </c>
      <c r="B127" s="23"/>
      <c r="C127" s="14" t="s">
        <v>504</v>
      </c>
      <c r="D127" s="23"/>
      <c r="E127" s="84">
        <v>10</v>
      </c>
      <c r="F127" s="23" t="s">
        <v>567</v>
      </c>
      <c r="G127" s="165">
        <v>250</v>
      </c>
      <c r="H127" s="165">
        <v>2500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56"/>
    </row>
    <row r="128" spans="1:22" x14ac:dyDescent="0.25">
      <c r="A128" s="25">
        <v>117</v>
      </c>
      <c r="B128" s="23"/>
      <c r="C128" s="14" t="s">
        <v>580</v>
      </c>
      <c r="D128" s="23"/>
      <c r="E128" s="84">
        <v>5</v>
      </c>
      <c r="F128" s="23" t="s">
        <v>581</v>
      </c>
      <c r="G128" s="165">
        <v>70</v>
      </c>
      <c r="H128" s="165">
        <v>350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56"/>
    </row>
    <row r="129" spans="1:22" x14ac:dyDescent="0.25">
      <c r="A129" s="25">
        <v>118</v>
      </c>
      <c r="B129" s="23"/>
      <c r="C129" s="14" t="s">
        <v>582</v>
      </c>
      <c r="D129" s="23"/>
      <c r="E129" s="84">
        <v>3</v>
      </c>
      <c r="F129" s="23" t="s">
        <v>581</v>
      </c>
      <c r="G129" s="165">
        <v>300</v>
      </c>
      <c r="H129" s="165">
        <v>900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56"/>
    </row>
    <row r="130" spans="1:22" x14ac:dyDescent="0.25">
      <c r="A130" s="25">
        <v>119</v>
      </c>
      <c r="B130" s="23"/>
      <c r="C130" s="14" t="s">
        <v>583</v>
      </c>
      <c r="D130" s="23"/>
      <c r="E130" s="84">
        <v>10</v>
      </c>
      <c r="F130" s="23" t="s">
        <v>152</v>
      </c>
      <c r="G130" s="165">
        <v>200</v>
      </c>
      <c r="H130" s="165">
        <v>2000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56"/>
    </row>
    <row r="131" spans="1:22" x14ac:dyDescent="0.25">
      <c r="A131" s="25">
        <v>120</v>
      </c>
      <c r="B131" s="23"/>
      <c r="C131" s="14" t="s">
        <v>584</v>
      </c>
      <c r="D131" s="23"/>
      <c r="E131" s="84">
        <v>4</v>
      </c>
      <c r="F131" s="23" t="s">
        <v>309</v>
      </c>
      <c r="G131" s="165">
        <v>100</v>
      </c>
      <c r="H131" s="165">
        <v>400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56"/>
    </row>
    <row r="132" spans="1:22" x14ac:dyDescent="0.25">
      <c r="A132" s="25">
        <v>121</v>
      </c>
      <c r="B132" s="23"/>
      <c r="C132" s="14" t="s">
        <v>383</v>
      </c>
      <c r="D132" s="23"/>
      <c r="E132" s="84">
        <v>2</v>
      </c>
      <c r="F132" s="23" t="s">
        <v>567</v>
      </c>
      <c r="G132" s="165">
        <v>100</v>
      </c>
      <c r="H132" s="165">
        <v>200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56"/>
    </row>
    <row r="133" spans="1:22" x14ac:dyDescent="0.25">
      <c r="A133" s="25">
        <v>122</v>
      </c>
      <c r="B133" s="23"/>
      <c r="C133" s="14" t="s">
        <v>585</v>
      </c>
      <c r="D133" s="23"/>
      <c r="E133" s="84">
        <v>4</v>
      </c>
      <c r="F133" s="23" t="s">
        <v>309</v>
      </c>
      <c r="G133" s="165">
        <v>200</v>
      </c>
      <c r="H133" s="165">
        <v>800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56"/>
    </row>
    <row r="134" spans="1:22" x14ac:dyDescent="0.25">
      <c r="A134" s="25">
        <v>123</v>
      </c>
      <c r="B134" s="23"/>
      <c r="C134" s="14" t="s">
        <v>586</v>
      </c>
      <c r="D134" s="23"/>
      <c r="E134" s="84">
        <v>10</v>
      </c>
      <c r="F134" s="23" t="s">
        <v>152</v>
      </c>
      <c r="G134" s="165">
        <v>50</v>
      </c>
      <c r="H134" s="165">
        <v>500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56"/>
    </row>
    <row r="135" spans="1:22" x14ac:dyDescent="0.25">
      <c r="A135" s="25">
        <v>124</v>
      </c>
      <c r="B135" s="23"/>
      <c r="C135" s="14" t="s">
        <v>487</v>
      </c>
      <c r="D135" s="23"/>
      <c r="E135" s="84">
        <v>108</v>
      </c>
      <c r="F135" s="23" t="s">
        <v>152</v>
      </c>
      <c r="G135" s="165">
        <v>90</v>
      </c>
      <c r="H135" s="165">
        <v>9720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56"/>
    </row>
    <row r="136" spans="1:22" x14ac:dyDescent="0.25">
      <c r="A136" s="25">
        <v>125</v>
      </c>
      <c r="B136" s="23"/>
      <c r="C136" s="14" t="s">
        <v>587</v>
      </c>
      <c r="D136" s="23"/>
      <c r="E136" s="84">
        <v>108</v>
      </c>
      <c r="F136" s="23" t="s">
        <v>152</v>
      </c>
      <c r="G136" s="165">
        <v>50</v>
      </c>
      <c r="H136" s="165">
        <v>5400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56"/>
    </row>
    <row r="137" spans="1:22" x14ac:dyDescent="0.25">
      <c r="A137" s="25">
        <v>126</v>
      </c>
      <c r="B137" s="23"/>
      <c r="C137" s="14" t="s">
        <v>588</v>
      </c>
      <c r="D137" s="23"/>
      <c r="E137" s="84">
        <v>108</v>
      </c>
      <c r="F137" s="23" t="s">
        <v>152</v>
      </c>
      <c r="G137" s="165">
        <v>45</v>
      </c>
      <c r="H137" s="165">
        <v>4860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56"/>
    </row>
    <row r="138" spans="1:22" x14ac:dyDescent="0.25">
      <c r="A138" s="25">
        <v>127</v>
      </c>
      <c r="B138" s="23"/>
      <c r="C138" s="14" t="s">
        <v>485</v>
      </c>
      <c r="D138" s="23"/>
      <c r="E138" s="84">
        <v>2</v>
      </c>
      <c r="F138" s="23" t="s">
        <v>309</v>
      </c>
      <c r="G138" s="165">
        <v>100</v>
      </c>
      <c r="H138" s="165">
        <v>200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56"/>
    </row>
    <row r="139" spans="1:22" x14ac:dyDescent="0.25">
      <c r="A139" s="25">
        <v>128</v>
      </c>
      <c r="B139" s="23"/>
      <c r="C139" s="14" t="s">
        <v>589</v>
      </c>
      <c r="D139" s="23"/>
      <c r="E139" s="84">
        <v>10</v>
      </c>
      <c r="F139" s="23" t="s">
        <v>152</v>
      </c>
      <c r="G139" s="165">
        <v>600</v>
      </c>
      <c r="H139" s="165">
        <v>6000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56"/>
    </row>
    <row r="140" spans="1:22" x14ac:dyDescent="0.25">
      <c r="A140" s="25">
        <v>129</v>
      </c>
      <c r="B140" s="23"/>
      <c r="C140" s="14" t="s">
        <v>590</v>
      </c>
      <c r="D140" s="23"/>
      <c r="E140" s="84">
        <v>1</v>
      </c>
      <c r="F140" s="23" t="s">
        <v>152</v>
      </c>
      <c r="G140" s="165">
        <v>43.5</v>
      </c>
      <c r="H140" s="165">
        <v>43.5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56"/>
    </row>
    <row r="141" spans="1:22" x14ac:dyDescent="0.25">
      <c r="A141" s="25">
        <v>130</v>
      </c>
      <c r="B141" s="23"/>
      <c r="C141" s="14" t="s">
        <v>591</v>
      </c>
      <c r="D141" s="23"/>
      <c r="E141" s="84">
        <v>2</v>
      </c>
      <c r="F141" s="23" t="s">
        <v>152</v>
      </c>
      <c r="G141" s="165">
        <v>310</v>
      </c>
      <c r="H141" s="165">
        <v>620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56"/>
    </row>
    <row r="142" spans="1:22" x14ac:dyDescent="0.25">
      <c r="A142" s="25">
        <v>131</v>
      </c>
      <c r="B142" s="23"/>
      <c r="C142" s="14" t="s">
        <v>592</v>
      </c>
      <c r="D142" s="23"/>
      <c r="E142" s="84">
        <v>2</v>
      </c>
      <c r="F142" s="23" t="s">
        <v>152</v>
      </c>
      <c r="G142" s="165">
        <v>250</v>
      </c>
      <c r="H142" s="165">
        <v>500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56"/>
    </row>
    <row r="143" spans="1:22" x14ac:dyDescent="0.25">
      <c r="A143" s="25">
        <v>132</v>
      </c>
      <c r="B143" s="23"/>
      <c r="C143" s="14" t="s">
        <v>593</v>
      </c>
      <c r="D143" s="23"/>
      <c r="E143" s="84">
        <v>5</v>
      </c>
      <c r="F143" s="23" t="s">
        <v>152</v>
      </c>
      <c r="G143" s="165">
        <v>200</v>
      </c>
      <c r="H143" s="165">
        <v>1000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56"/>
    </row>
    <row r="144" spans="1:22" x14ac:dyDescent="0.25">
      <c r="A144" s="25">
        <v>133</v>
      </c>
      <c r="B144" s="23"/>
      <c r="C144" s="14" t="s">
        <v>594</v>
      </c>
      <c r="D144" s="23"/>
      <c r="E144" s="84">
        <v>2</v>
      </c>
      <c r="F144" s="23" t="s">
        <v>152</v>
      </c>
      <c r="G144" s="165">
        <v>100</v>
      </c>
      <c r="H144" s="165">
        <v>200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56"/>
    </row>
    <row r="145" spans="1:22" x14ac:dyDescent="0.25">
      <c r="A145" s="25">
        <v>134</v>
      </c>
      <c r="B145" s="23"/>
      <c r="C145" s="14" t="s">
        <v>595</v>
      </c>
      <c r="D145" s="23"/>
      <c r="E145" s="84">
        <v>20</v>
      </c>
      <c r="F145" s="23" t="s">
        <v>309</v>
      </c>
      <c r="G145" s="165">
        <v>150</v>
      </c>
      <c r="H145" s="165">
        <v>3000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56"/>
    </row>
    <row r="146" spans="1:22" x14ac:dyDescent="0.25">
      <c r="A146" s="25">
        <v>135</v>
      </c>
      <c r="B146" s="23"/>
      <c r="C146" s="14"/>
      <c r="D146" s="23"/>
      <c r="E146" s="84"/>
      <c r="F146" s="23"/>
      <c r="G146" s="165"/>
      <c r="H146" s="16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56"/>
    </row>
    <row r="147" spans="1:22" ht="30" x14ac:dyDescent="0.25">
      <c r="A147" s="25">
        <v>136</v>
      </c>
      <c r="B147" s="89" t="s">
        <v>50</v>
      </c>
      <c r="C147" s="90" t="s">
        <v>53</v>
      </c>
      <c r="D147" s="89" t="s">
        <v>27</v>
      </c>
      <c r="E147" s="89"/>
      <c r="F147" s="89"/>
      <c r="G147" s="163"/>
      <c r="H147" s="167">
        <v>2595999.96</v>
      </c>
      <c r="I147" s="89" t="s">
        <v>52</v>
      </c>
      <c r="J147" s="60"/>
      <c r="K147" s="60"/>
      <c r="L147" s="60"/>
      <c r="M147" s="60"/>
      <c r="N147" s="60">
        <v>2</v>
      </c>
      <c r="O147" s="60"/>
      <c r="P147" s="60"/>
      <c r="Q147" s="60">
        <v>1</v>
      </c>
      <c r="R147" s="60"/>
      <c r="S147" s="60"/>
      <c r="T147" s="60"/>
      <c r="U147" s="60"/>
      <c r="V147" s="56"/>
    </row>
    <row r="148" spans="1:22" x14ac:dyDescent="0.25">
      <c r="A148" s="25">
        <v>137</v>
      </c>
      <c r="B148" s="23"/>
      <c r="C148" s="14" t="s">
        <v>368</v>
      </c>
      <c r="D148" s="23"/>
      <c r="E148" s="84"/>
      <c r="F148" s="23"/>
      <c r="G148" s="165"/>
      <c r="H148" s="16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56"/>
    </row>
    <row r="149" spans="1:22" x14ac:dyDescent="0.25">
      <c r="A149" s="25">
        <v>138</v>
      </c>
      <c r="B149" s="23"/>
      <c r="C149" s="14" t="s">
        <v>263</v>
      </c>
      <c r="D149" s="23"/>
      <c r="E149" s="84">
        <f>100*5</f>
        <v>500</v>
      </c>
      <c r="F149" s="23" t="s">
        <v>37</v>
      </c>
      <c r="G149" s="165">
        <v>150</v>
      </c>
      <c r="H149" s="165">
        <f>E149*G149</f>
        <v>75000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56"/>
    </row>
    <row r="150" spans="1:22" x14ac:dyDescent="0.25">
      <c r="A150" s="25">
        <v>139</v>
      </c>
      <c r="B150" s="23"/>
      <c r="C150" s="14" t="s">
        <v>246</v>
      </c>
      <c r="D150" s="23"/>
      <c r="E150" s="84">
        <f>100*5</f>
        <v>500</v>
      </c>
      <c r="F150" s="23" t="s">
        <v>37</v>
      </c>
      <c r="G150" s="165">
        <v>120</v>
      </c>
      <c r="H150" s="165">
        <f>E150*G150</f>
        <v>60000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56"/>
    </row>
    <row r="151" spans="1:22" x14ac:dyDescent="0.25">
      <c r="A151" s="25">
        <v>140</v>
      </c>
      <c r="B151" s="23"/>
      <c r="C151" s="14" t="s">
        <v>264</v>
      </c>
      <c r="D151" s="23"/>
      <c r="E151" s="84">
        <f>100*5</f>
        <v>500</v>
      </c>
      <c r="F151" s="23" t="s">
        <v>37</v>
      </c>
      <c r="G151" s="165">
        <v>180</v>
      </c>
      <c r="H151" s="165">
        <f>E151*G151</f>
        <v>90000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56"/>
    </row>
    <row r="152" spans="1:22" x14ac:dyDescent="0.25">
      <c r="A152" s="25">
        <v>141</v>
      </c>
      <c r="B152" s="23"/>
      <c r="C152" s="14" t="s">
        <v>265</v>
      </c>
      <c r="D152" s="23"/>
      <c r="E152" s="84">
        <f>100*5</f>
        <v>500</v>
      </c>
      <c r="F152" s="23" t="s">
        <v>37</v>
      </c>
      <c r="G152" s="165">
        <v>120</v>
      </c>
      <c r="H152" s="165">
        <f>E152*G152</f>
        <v>60000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56"/>
    </row>
    <row r="153" spans="1:22" x14ac:dyDescent="0.25">
      <c r="A153" s="25">
        <v>142</v>
      </c>
      <c r="B153" s="23"/>
      <c r="C153" s="14" t="s">
        <v>266</v>
      </c>
      <c r="D153" s="23"/>
      <c r="E153" s="84">
        <f>100*5</f>
        <v>500</v>
      </c>
      <c r="F153" s="23" t="s">
        <v>37</v>
      </c>
      <c r="G153" s="165">
        <v>180</v>
      </c>
      <c r="H153" s="165">
        <f>E153*G153</f>
        <v>90000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56"/>
    </row>
    <row r="154" spans="1:22" x14ac:dyDescent="0.25">
      <c r="A154" s="25">
        <v>143</v>
      </c>
      <c r="B154" s="23"/>
      <c r="C154" s="14" t="s">
        <v>369</v>
      </c>
      <c r="D154" s="23"/>
      <c r="E154" s="84"/>
      <c r="F154" s="23"/>
      <c r="G154" s="165"/>
      <c r="H154" s="165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56"/>
    </row>
    <row r="155" spans="1:22" x14ac:dyDescent="0.25">
      <c r="A155" s="25">
        <v>144</v>
      </c>
      <c r="B155" s="23"/>
      <c r="C155" s="1" t="s">
        <v>248</v>
      </c>
      <c r="D155" s="23"/>
      <c r="E155" s="25">
        <f>75*5</f>
        <v>375</v>
      </c>
      <c r="F155" s="36" t="s">
        <v>152</v>
      </c>
      <c r="G155" s="47">
        <v>85</v>
      </c>
      <c r="H155" s="165">
        <f>E155*G155</f>
        <v>31875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56"/>
    </row>
    <row r="156" spans="1:22" x14ac:dyDescent="0.25">
      <c r="A156" s="25">
        <v>145</v>
      </c>
      <c r="B156" s="23"/>
      <c r="C156" s="1" t="s">
        <v>249</v>
      </c>
      <c r="D156" s="23"/>
      <c r="E156" s="25">
        <f>150*5</f>
        <v>750</v>
      </c>
      <c r="F156" s="23" t="s">
        <v>567</v>
      </c>
      <c r="G156" s="47">
        <v>250</v>
      </c>
      <c r="H156" s="165">
        <f t="shared" ref="H156:H168" si="5">E156*G156</f>
        <v>187500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56"/>
    </row>
    <row r="157" spans="1:22" x14ac:dyDescent="0.25">
      <c r="A157" s="25">
        <v>146</v>
      </c>
      <c r="B157" s="23"/>
      <c r="C157" s="1" t="s">
        <v>250</v>
      </c>
      <c r="D157" s="23"/>
      <c r="E157" s="25">
        <f>150*5</f>
        <v>750</v>
      </c>
      <c r="F157" s="23" t="s">
        <v>567</v>
      </c>
      <c r="G157" s="47">
        <v>250</v>
      </c>
      <c r="H157" s="165">
        <f t="shared" si="5"/>
        <v>187500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56"/>
    </row>
    <row r="158" spans="1:22" x14ac:dyDescent="0.25">
      <c r="A158" s="25">
        <v>147</v>
      </c>
      <c r="B158" s="23"/>
      <c r="C158" s="1" t="s">
        <v>251</v>
      </c>
      <c r="D158" s="23"/>
      <c r="E158" s="25">
        <f>10*5</f>
        <v>50</v>
      </c>
      <c r="F158" s="23" t="s">
        <v>567</v>
      </c>
      <c r="G158" s="47">
        <v>250</v>
      </c>
      <c r="H158" s="165">
        <f t="shared" si="5"/>
        <v>12500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56"/>
    </row>
    <row r="159" spans="1:22" x14ac:dyDescent="0.25">
      <c r="A159" s="25">
        <v>148</v>
      </c>
      <c r="B159" s="23"/>
      <c r="C159" s="1" t="s">
        <v>252</v>
      </c>
      <c r="D159" s="23"/>
      <c r="E159" s="25">
        <f>10*5</f>
        <v>50</v>
      </c>
      <c r="F159" s="23" t="s">
        <v>567</v>
      </c>
      <c r="G159" s="47">
        <v>250</v>
      </c>
      <c r="H159" s="165">
        <f t="shared" si="5"/>
        <v>12500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56"/>
    </row>
    <row r="160" spans="1:22" x14ac:dyDescent="0.25">
      <c r="A160" s="25">
        <v>149</v>
      </c>
      <c r="B160" s="23"/>
      <c r="C160" s="1" t="s">
        <v>253</v>
      </c>
      <c r="D160" s="23"/>
      <c r="E160" s="25">
        <f>10*5</f>
        <v>50</v>
      </c>
      <c r="F160" s="36" t="s">
        <v>152</v>
      </c>
      <c r="G160" s="47">
        <v>85</v>
      </c>
      <c r="H160" s="165">
        <f t="shared" si="5"/>
        <v>4250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56"/>
    </row>
    <row r="161" spans="1:22" x14ac:dyDescent="0.25">
      <c r="A161" s="25">
        <v>150</v>
      </c>
      <c r="B161" s="23"/>
      <c r="C161" s="1" t="s">
        <v>254</v>
      </c>
      <c r="D161" s="23"/>
      <c r="E161" s="25">
        <f>10*5</f>
        <v>50</v>
      </c>
      <c r="F161" s="23" t="s">
        <v>567</v>
      </c>
      <c r="G161" s="47">
        <v>655</v>
      </c>
      <c r="H161" s="165">
        <f t="shared" si="5"/>
        <v>32750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56"/>
    </row>
    <row r="162" spans="1:22" x14ac:dyDescent="0.25">
      <c r="A162" s="25">
        <v>151</v>
      </c>
      <c r="B162" s="23"/>
      <c r="C162" s="1" t="s">
        <v>255</v>
      </c>
      <c r="D162" s="23"/>
      <c r="E162" s="25">
        <f>100*5</f>
        <v>500</v>
      </c>
      <c r="F162" s="36" t="s">
        <v>152</v>
      </c>
      <c r="G162" s="47">
        <v>75</v>
      </c>
      <c r="H162" s="165">
        <f t="shared" si="5"/>
        <v>37500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56"/>
    </row>
    <row r="163" spans="1:22" x14ac:dyDescent="0.25">
      <c r="A163" s="25">
        <v>152</v>
      </c>
      <c r="B163" s="23"/>
      <c r="C163" s="1" t="s">
        <v>256</v>
      </c>
      <c r="D163" s="23"/>
      <c r="E163" s="25">
        <f>50*5</f>
        <v>250</v>
      </c>
      <c r="F163" s="23" t="s">
        <v>567</v>
      </c>
      <c r="G163" s="47">
        <v>125</v>
      </c>
      <c r="H163" s="165">
        <f t="shared" si="5"/>
        <v>31250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56"/>
    </row>
    <row r="164" spans="1:22" x14ac:dyDescent="0.25">
      <c r="A164" s="25">
        <v>153</v>
      </c>
      <c r="B164" s="23"/>
      <c r="C164" s="4" t="s">
        <v>257</v>
      </c>
      <c r="D164" s="23"/>
      <c r="E164" s="25">
        <f>50*5</f>
        <v>250</v>
      </c>
      <c r="F164" s="23" t="s">
        <v>309</v>
      </c>
      <c r="G164" s="47">
        <v>240</v>
      </c>
      <c r="H164" s="165">
        <f t="shared" si="5"/>
        <v>60000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56"/>
    </row>
    <row r="165" spans="1:22" x14ac:dyDescent="0.25">
      <c r="A165" s="25">
        <v>154</v>
      </c>
      <c r="B165" s="23"/>
      <c r="C165" s="1" t="s">
        <v>258</v>
      </c>
      <c r="D165" s="23"/>
      <c r="E165" s="25">
        <f>50*5</f>
        <v>250</v>
      </c>
      <c r="F165" s="23" t="s">
        <v>567</v>
      </c>
      <c r="G165" s="47">
        <v>855</v>
      </c>
      <c r="H165" s="165">
        <f t="shared" si="5"/>
        <v>213750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56"/>
    </row>
    <row r="166" spans="1:22" x14ac:dyDescent="0.25">
      <c r="A166" s="25">
        <v>155</v>
      </c>
      <c r="B166" s="23"/>
      <c r="C166" s="1" t="s">
        <v>259</v>
      </c>
      <c r="D166" s="23"/>
      <c r="E166" s="25">
        <f>200*5</f>
        <v>1000</v>
      </c>
      <c r="F166" s="36" t="s">
        <v>152</v>
      </c>
      <c r="G166" s="47">
        <v>50</v>
      </c>
      <c r="H166" s="165">
        <f t="shared" si="5"/>
        <v>50000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56"/>
    </row>
    <row r="167" spans="1:22" x14ac:dyDescent="0.25">
      <c r="A167" s="25">
        <v>156</v>
      </c>
      <c r="B167" s="23"/>
      <c r="C167" s="1" t="s">
        <v>260</v>
      </c>
      <c r="D167" s="23"/>
      <c r="E167" s="25">
        <f>20*5</f>
        <v>100</v>
      </c>
      <c r="F167" s="36" t="s">
        <v>152</v>
      </c>
      <c r="G167" s="47">
        <v>120</v>
      </c>
      <c r="H167" s="165">
        <f t="shared" si="5"/>
        <v>12000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56"/>
    </row>
    <row r="168" spans="1:22" x14ac:dyDescent="0.25">
      <c r="A168" s="25">
        <v>157</v>
      </c>
      <c r="B168" s="23"/>
      <c r="C168" s="1" t="s">
        <v>261</v>
      </c>
      <c r="D168" s="23"/>
      <c r="E168" s="25">
        <f>20*5</f>
        <v>100</v>
      </c>
      <c r="F168" s="36" t="s">
        <v>152</v>
      </c>
      <c r="G168" s="47">
        <v>120</v>
      </c>
      <c r="H168" s="165">
        <f t="shared" si="5"/>
        <v>12000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56"/>
    </row>
    <row r="169" spans="1:22" x14ac:dyDescent="0.25">
      <c r="A169" s="25">
        <v>158</v>
      </c>
      <c r="B169" s="23"/>
      <c r="C169" s="14" t="s">
        <v>370</v>
      </c>
      <c r="D169" s="23"/>
      <c r="E169" s="84"/>
      <c r="F169" s="23"/>
      <c r="G169" s="165"/>
      <c r="H169" s="165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56"/>
    </row>
    <row r="170" spans="1:22" x14ac:dyDescent="0.25">
      <c r="A170" s="25">
        <v>159</v>
      </c>
      <c r="B170" s="23"/>
      <c r="C170" s="1" t="s">
        <v>268</v>
      </c>
      <c r="D170" s="23"/>
      <c r="E170" s="25">
        <f>15*5</f>
        <v>75</v>
      </c>
      <c r="F170" s="8" t="s">
        <v>291</v>
      </c>
      <c r="G170" s="46">
        <v>499</v>
      </c>
      <c r="H170" s="165">
        <f>E170*G170</f>
        <v>37425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56"/>
    </row>
    <row r="171" spans="1:22" x14ac:dyDescent="0.25">
      <c r="A171" s="25">
        <v>160</v>
      </c>
      <c r="B171" s="23"/>
      <c r="C171" s="1" t="s">
        <v>269</v>
      </c>
      <c r="D171" s="23"/>
      <c r="E171" s="25">
        <f>15*5</f>
        <v>75</v>
      </c>
      <c r="F171" s="8" t="s">
        <v>291</v>
      </c>
      <c r="G171" s="46">
        <v>499</v>
      </c>
      <c r="H171" s="165">
        <f>E171*G171</f>
        <v>37425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56"/>
    </row>
    <row r="172" spans="1:22" x14ac:dyDescent="0.25">
      <c r="A172" s="25">
        <v>161</v>
      </c>
      <c r="B172" s="23"/>
      <c r="C172" s="1" t="s">
        <v>270</v>
      </c>
      <c r="D172" s="23"/>
      <c r="E172" s="25">
        <f>15*5</f>
        <v>75</v>
      </c>
      <c r="F172" s="8" t="s">
        <v>291</v>
      </c>
      <c r="G172" s="46">
        <v>499</v>
      </c>
      <c r="H172" s="165">
        <f>E172*G172</f>
        <v>37425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56"/>
    </row>
    <row r="173" spans="1:22" x14ac:dyDescent="0.25">
      <c r="A173" s="25">
        <v>162</v>
      </c>
      <c r="B173" s="23"/>
      <c r="C173" s="1" t="s">
        <v>271</v>
      </c>
      <c r="D173" s="23"/>
      <c r="E173" s="25">
        <f>15*5</f>
        <v>75</v>
      </c>
      <c r="F173" s="8" t="s">
        <v>291</v>
      </c>
      <c r="G173" s="46">
        <v>499</v>
      </c>
      <c r="H173" s="165">
        <f>E173*G173</f>
        <v>37425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56"/>
    </row>
    <row r="174" spans="1:22" x14ac:dyDescent="0.25">
      <c r="A174" s="25">
        <v>163</v>
      </c>
      <c r="B174" s="23"/>
      <c r="C174" s="1" t="s">
        <v>272</v>
      </c>
      <c r="D174" s="23"/>
      <c r="E174" s="25">
        <f>15*5</f>
        <v>75</v>
      </c>
      <c r="F174" s="36" t="s">
        <v>152</v>
      </c>
      <c r="G174" s="46">
        <v>1199</v>
      </c>
      <c r="H174" s="165">
        <f>E174*G174</f>
        <v>89925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56"/>
    </row>
    <row r="175" spans="1:22" x14ac:dyDescent="0.25">
      <c r="A175" s="25">
        <v>164</v>
      </c>
      <c r="B175" s="23"/>
      <c r="C175" s="14" t="s">
        <v>57</v>
      </c>
      <c r="D175" s="23"/>
      <c r="E175" s="84"/>
      <c r="F175" s="23"/>
      <c r="G175" s="165"/>
      <c r="H175" s="165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56"/>
    </row>
    <row r="176" spans="1:22" x14ac:dyDescent="0.25">
      <c r="A176" s="25">
        <v>165</v>
      </c>
      <c r="B176" s="23"/>
      <c r="C176" s="9" t="s">
        <v>1381</v>
      </c>
      <c r="D176" s="23"/>
      <c r="E176" s="8">
        <v>1</v>
      </c>
      <c r="F176" s="8" t="s">
        <v>128</v>
      </c>
      <c r="G176" s="53">
        <v>41499.96</v>
      </c>
      <c r="H176" s="165">
        <f>G176*E176</f>
        <v>41499.96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56"/>
    </row>
    <row r="177" spans="1:22" x14ac:dyDescent="0.25">
      <c r="A177" s="25">
        <v>166</v>
      </c>
      <c r="B177" s="23"/>
      <c r="C177" s="9" t="s">
        <v>1382</v>
      </c>
      <c r="D177" s="23"/>
      <c r="E177" s="8">
        <v>1</v>
      </c>
      <c r="F177" s="8" t="s">
        <v>128</v>
      </c>
      <c r="G177" s="53">
        <v>34000</v>
      </c>
      <c r="H177" s="165">
        <f>G177*E177</f>
        <v>34000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56"/>
    </row>
    <row r="178" spans="1:22" x14ac:dyDescent="0.25">
      <c r="A178" s="25">
        <v>167</v>
      </c>
      <c r="B178" s="23"/>
      <c r="C178" s="9" t="s">
        <v>1383</v>
      </c>
      <c r="D178" s="23"/>
      <c r="E178" s="8">
        <v>23</v>
      </c>
      <c r="F178" s="8" t="s">
        <v>128</v>
      </c>
      <c r="G178" s="53">
        <v>29500</v>
      </c>
      <c r="H178" s="165">
        <f>G178*E178</f>
        <v>678500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56"/>
    </row>
    <row r="179" spans="1:22" x14ac:dyDescent="0.25">
      <c r="A179" s="25">
        <v>168</v>
      </c>
      <c r="B179" s="23"/>
      <c r="C179" s="98" t="s">
        <v>1384</v>
      </c>
      <c r="D179" s="23"/>
      <c r="E179" s="8">
        <v>40</v>
      </c>
      <c r="F179" s="36" t="s">
        <v>152</v>
      </c>
      <c r="G179" s="5">
        <v>8550</v>
      </c>
      <c r="H179" s="165">
        <f>G179*E179</f>
        <v>342000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56"/>
    </row>
    <row r="180" spans="1:22" x14ac:dyDescent="0.25">
      <c r="A180" s="25">
        <v>169</v>
      </c>
      <c r="B180" s="23"/>
      <c r="C180" s="14"/>
      <c r="D180" s="23"/>
      <c r="E180" s="84"/>
      <c r="F180" s="23"/>
      <c r="G180" s="165"/>
      <c r="H180" s="165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56"/>
    </row>
    <row r="181" spans="1:22" ht="30" x14ac:dyDescent="0.25">
      <c r="A181" s="25">
        <v>170</v>
      </c>
      <c r="B181" s="86" t="s">
        <v>61</v>
      </c>
      <c r="C181" s="87" t="s">
        <v>62</v>
      </c>
      <c r="D181" s="86" t="s">
        <v>26</v>
      </c>
      <c r="E181" s="86"/>
      <c r="F181" s="86"/>
      <c r="G181" s="161"/>
      <c r="H181" s="162">
        <f>H182+H192+H221+H230+H254+H274+H287+H306+H353+H374+H417+H439+H464+H497+H521+H540+H548+H591+H609+H649+H659+H678+H694+H749+H773+H798+H802+H823+H833+H839</f>
        <v>17326157.98</v>
      </c>
      <c r="I181" s="86" t="s">
        <v>52</v>
      </c>
      <c r="J181" s="88">
        <v>3</v>
      </c>
      <c r="K181" s="88">
        <v>9</v>
      </c>
      <c r="L181" s="88">
        <v>1</v>
      </c>
      <c r="M181" s="88">
        <v>54</v>
      </c>
      <c r="N181" s="88">
        <v>5</v>
      </c>
      <c r="O181" s="88">
        <v>3</v>
      </c>
      <c r="P181" s="88">
        <v>19</v>
      </c>
      <c r="Q181" s="88">
        <v>7</v>
      </c>
      <c r="R181" s="88">
        <v>2</v>
      </c>
      <c r="S181" s="88">
        <v>7</v>
      </c>
      <c r="T181" s="88">
        <v>5</v>
      </c>
      <c r="U181" s="86"/>
      <c r="V181" s="56"/>
    </row>
    <row r="182" spans="1:22" ht="30" x14ac:dyDescent="0.25">
      <c r="A182" s="25">
        <v>171</v>
      </c>
      <c r="B182" s="89" t="s">
        <v>61</v>
      </c>
      <c r="C182" s="90" t="s">
        <v>41</v>
      </c>
      <c r="D182" s="89" t="s">
        <v>27</v>
      </c>
      <c r="E182" s="89"/>
      <c r="F182" s="89"/>
      <c r="G182" s="163"/>
      <c r="H182" s="167">
        <v>283500</v>
      </c>
      <c r="I182" s="89" t="s">
        <v>52</v>
      </c>
      <c r="J182" s="60"/>
      <c r="K182" s="60"/>
      <c r="L182" s="60"/>
      <c r="M182" s="60">
        <v>1</v>
      </c>
      <c r="N182" s="60"/>
      <c r="O182" s="60"/>
      <c r="P182" s="60"/>
      <c r="Q182" s="60">
        <v>1</v>
      </c>
      <c r="R182" s="60"/>
      <c r="S182" s="60"/>
      <c r="T182" s="60"/>
      <c r="U182" s="60"/>
      <c r="V182" s="56"/>
    </row>
    <row r="183" spans="1:22" x14ac:dyDescent="0.25">
      <c r="A183" s="25">
        <v>172</v>
      </c>
      <c r="B183" s="23"/>
      <c r="C183" s="14" t="s">
        <v>273</v>
      </c>
      <c r="D183" s="23"/>
      <c r="E183" s="84"/>
      <c r="F183" s="23"/>
      <c r="G183" s="165"/>
      <c r="H183" s="165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56"/>
    </row>
    <row r="184" spans="1:22" x14ac:dyDescent="0.25">
      <c r="A184" s="25">
        <v>173</v>
      </c>
      <c r="B184" s="23"/>
      <c r="C184" s="63" t="s">
        <v>337</v>
      </c>
      <c r="D184" s="23"/>
      <c r="E184" s="64">
        <f>70*2</f>
        <v>140</v>
      </c>
      <c r="F184" s="64" t="s">
        <v>37</v>
      </c>
      <c r="G184" s="168">
        <v>150</v>
      </c>
      <c r="H184" s="165">
        <f>E184*G184</f>
        <v>21000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56"/>
    </row>
    <row r="185" spans="1:22" x14ac:dyDescent="0.25">
      <c r="A185" s="25">
        <v>174</v>
      </c>
      <c r="B185" s="23"/>
      <c r="C185" s="63" t="s">
        <v>247</v>
      </c>
      <c r="D185" s="23"/>
      <c r="E185" s="64">
        <f>70*2</f>
        <v>140</v>
      </c>
      <c r="F185" s="64" t="s">
        <v>37</v>
      </c>
      <c r="G185" s="168">
        <v>250</v>
      </c>
      <c r="H185" s="165">
        <f>E185*G185</f>
        <v>35000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56"/>
    </row>
    <row r="186" spans="1:22" x14ac:dyDescent="0.25">
      <c r="A186" s="25">
        <v>175</v>
      </c>
      <c r="B186" s="23"/>
      <c r="C186" s="63" t="s">
        <v>338</v>
      </c>
      <c r="D186" s="23"/>
      <c r="E186" s="64">
        <f>70*2</f>
        <v>140</v>
      </c>
      <c r="F186" s="64" t="s">
        <v>37</v>
      </c>
      <c r="G186" s="168">
        <v>150</v>
      </c>
      <c r="H186" s="165">
        <f>E186*G186</f>
        <v>21000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56"/>
    </row>
    <row r="187" spans="1:22" x14ac:dyDescent="0.25">
      <c r="A187" s="25">
        <v>176</v>
      </c>
      <c r="B187" s="23"/>
      <c r="C187" s="14" t="s">
        <v>342</v>
      </c>
      <c r="D187" s="23"/>
      <c r="E187" s="84"/>
      <c r="F187" s="23"/>
      <c r="G187" s="165"/>
      <c r="H187" s="165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56"/>
    </row>
    <row r="188" spans="1:22" x14ac:dyDescent="0.25">
      <c r="A188" s="25">
        <v>177</v>
      </c>
      <c r="B188" s="23"/>
      <c r="C188" s="63" t="s">
        <v>339</v>
      </c>
      <c r="D188" s="23"/>
      <c r="E188" s="64">
        <v>2</v>
      </c>
      <c r="F188" s="36" t="s">
        <v>152</v>
      </c>
      <c r="G188" s="168">
        <v>8000</v>
      </c>
      <c r="H188" s="165">
        <f>E188*G188</f>
        <v>16000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56"/>
    </row>
    <row r="189" spans="1:22" x14ac:dyDescent="0.25">
      <c r="A189" s="25">
        <v>178</v>
      </c>
      <c r="B189" s="23"/>
      <c r="C189" s="63" t="s">
        <v>340</v>
      </c>
      <c r="D189" s="23"/>
      <c r="E189" s="64">
        <v>60</v>
      </c>
      <c r="F189" s="36" t="s">
        <v>152</v>
      </c>
      <c r="G189" s="168">
        <v>750</v>
      </c>
      <c r="H189" s="165">
        <f>E189*G189</f>
        <v>45000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56"/>
    </row>
    <row r="190" spans="1:22" x14ac:dyDescent="0.25">
      <c r="A190" s="25">
        <v>179</v>
      </c>
      <c r="B190" s="23"/>
      <c r="C190" s="63" t="s">
        <v>341</v>
      </c>
      <c r="D190" s="23"/>
      <c r="E190" s="64">
        <v>60</v>
      </c>
      <c r="F190" s="36" t="s">
        <v>152</v>
      </c>
      <c r="G190" s="168">
        <v>2425</v>
      </c>
      <c r="H190" s="165">
        <f>E190*G190</f>
        <v>145500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56"/>
    </row>
    <row r="191" spans="1:22" x14ac:dyDescent="0.25">
      <c r="A191" s="25">
        <v>180</v>
      </c>
      <c r="B191" s="23"/>
      <c r="C191" s="14"/>
      <c r="D191" s="23"/>
      <c r="E191" s="84"/>
      <c r="F191" s="23"/>
      <c r="G191" s="165"/>
      <c r="H191" s="165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56"/>
    </row>
    <row r="192" spans="1:22" ht="30" x14ac:dyDescent="0.25">
      <c r="A192" s="25">
        <v>181</v>
      </c>
      <c r="B192" s="89" t="s">
        <v>61</v>
      </c>
      <c r="C192" s="90" t="s">
        <v>63</v>
      </c>
      <c r="D192" s="89" t="s">
        <v>27</v>
      </c>
      <c r="E192" s="89"/>
      <c r="F192" s="89"/>
      <c r="G192" s="163"/>
      <c r="H192" s="167">
        <v>501425</v>
      </c>
      <c r="I192" s="89" t="s">
        <v>52</v>
      </c>
      <c r="J192" s="60"/>
      <c r="K192" s="60">
        <v>1</v>
      </c>
      <c r="L192" s="60"/>
      <c r="M192" s="60">
        <v>2</v>
      </c>
      <c r="N192" s="60"/>
      <c r="O192" s="60"/>
      <c r="P192" s="60"/>
      <c r="Q192" s="60"/>
      <c r="R192" s="60"/>
      <c r="S192" s="60"/>
      <c r="T192" s="60"/>
      <c r="U192" s="60"/>
      <c r="V192" s="56"/>
    </row>
    <row r="193" spans="1:22" x14ac:dyDescent="0.25">
      <c r="A193" s="25">
        <v>182</v>
      </c>
      <c r="B193" s="23"/>
      <c r="C193" s="14" t="s">
        <v>343</v>
      </c>
      <c r="D193" s="23"/>
      <c r="E193" s="84"/>
      <c r="F193" s="23"/>
      <c r="G193" s="165"/>
      <c r="H193" s="165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56"/>
    </row>
    <row r="194" spans="1:22" x14ac:dyDescent="0.25">
      <c r="A194" s="25">
        <v>183</v>
      </c>
      <c r="B194" s="23"/>
      <c r="C194" s="14" t="s">
        <v>263</v>
      </c>
      <c r="D194" s="23"/>
      <c r="E194" s="84">
        <v>200</v>
      </c>
      <c r="F194" s="23" t="s">
        <v>37</v>
      </c>
      <c r="G194" s="165">
        <v>150</v>
      </c>
      <c r="H194" s="165">
        <f>E194*G194</f>
        <v>30000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56"/>
    </row>
    <row r="195" spans="1:22" x14ac:dyDescent="0.25">
      <c r="A195" s="25">
        <v>184</v>
      </c>
      <c r="B195" s="23"/>
      <c r="C195" s="14" t="s">
        <v>246</v>
      </c>
      <c r="D195" s="23"/>
      <c r="E195" s="84">
        <v>200</v>
      </c>
      <c r="F195" s="23" t="s">
        <v>37</v>
      </c>
      <c r="G195" s="165">
        <v>120</v>
      </c>
      <c r="H195" s="165">
        <f>E195*G195</f>
        <v>24000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56"/>
    </row>
    <row r="196" spans="1:22" x14ac:dyDescent="0.25">
      <c r="A196" s="25">
        <v>185</v>
      </c>
      <c r="B196" s="23"/>
      <c r="C196" s="14" t="s">
        <v>264</v>
      </c>
      <c r="D196" s="23"/>
      <c r="E196" s="84">
        <v>200</v>
      </c>
      <c r="F196" s="23" t="s">
        <v>37</v>
      </c>
      <c r="G196" s="165">
        <v>180</v>
      </c>
      <c r="H196" s="165">
        <f>E196*G196</f>
        <v>36000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56"/>
    </row>
    <row r="197" spans="1:22" x14ac:dyDescent="0.25">
      <c r="A197" s="25">
        <v>186</v>
      </c>
      <c r="B197" s="23"/>
      <c r="C197" s="14" t="s">
        <v>265</v>
      </c>
      <c r="D197" s="23"/>
      <c r="E197" s="84">
        <v>200</v>
      </c>
      <c r="F197" s="23" t="s">
        <v>37</v>
      </c>
      <c r="G197" s="165">
        <v>120</v>
      </c>
      <c r="H197" s="165">
        <f>E197*G197</f>
        <v>24000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56"/>
    </row>
    <row r="198" spans="1:22" x14ac:dyDescent="0.25">
      <c r="A198" s="25">
        <v>187</v>
      </c>
      <c r="B198" s="23"/>
      <c r="C198" s="14" t="s">
        <v>266</v>
      </c>
      <c r="D198" s="23"/>
      <c r="E198" s="84">
        <v>200</v>
      </c>
      <c r="F198" s="23" t="s">
        <v>37</v>
      </c>
      <c r="G198" s="165">
        <v>180</v>
      </c>
      <c r="H198" s="165">
        <f>E198*G198</f>
        <v>36000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56"/>
    </row>
    <row r="199" spans="1:22" x14ac:dyDescent="0.25">
      <c r="A199" s="25">
        <v>188</v>
      </c>
      <c r="B199" s="23"/>
      <c r="C199" s="14" t="s">
        <v>267</v>
      </c>
      <c r="D199" s="23"/>
      <c r="E199" s="84"/>
      <c r="F199" s="23"/>
      <c r="G199" s="165"/>
      <c r="H199" s="165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56"/>
    </row>
    <row r="200" spans="1:22" x14ac:dyDescent="0.25">
      <c r="A200" s="25">
        <v>189</v>
      </c>
      <c r="B200" s="23"/>
      <c r="C200" s="1" t="s">
        <v>248</v>
      </c>
      <c r="D200" s="23"/>
      <c r="E200" s="25">
        <v>130</v>
      </c>
      <c r="F200" s="36" t="s">
        <v>152</v>
      </c>
      <c r="G200" s="113">
        <v>85</v>
      </c>
      <c r="H200" s="165">
        <f>E200*G200</f>
        <v>11050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56"/>
    </row>
    <row r="201" spans="1:22" x14ac:dyDescent="0.25">
      <c r="A201" s="25">
        <v>190</v>
      </c>
      <c r="B201" s="23"/>
      <c r="C201" s="1" t="s">
        <v>249</v>
      </c>
      <c r="D201" s="23"/>
      <c r="E201" s="25">
        <v>200</v>
      </c>
      <c r="F201" s="23" t="s">
        <v>567</v>
      </c>
      <c r="G201" s="113">
        <v>250</v>
      </c>
      <c r="H201" s="165">
        <f t="shared" ref="H201:H213" si="6">E201*G201</f>
        <v>50000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56"/>
    </row>
    <row r="202" spans="1:22" x14ac:dyDescent="0.25">
      <c r="A202" s="25">
        <v>191</v>
      </c>
      <c r="B202" s="23"/>
      <c r="C202" s="1" t="s">
        <v>250</v>
      </c>
      <c r="D202" s="23"/>
      <c r="E202" s="25">
        <v>200</v>
      </c>
      <c r="F202" s="23" t="s">
        <v>567</v>
      </c>
      <c r="G202" s="113">
        <v>250</v>
      </c>
      <c r="H202" s="165">
        <f t="shared" si="6"/>
        <v>50000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56"/>
    </row>
    <row r="203" spans="1:22" x14ac:dyDescent="0.25">
      <c r="A203" s="25">
        <v>192</v>
      </c>
      <c r="B203" s="23"/>
      <c r="C203" s="1" t="s">
        <v>251</v>
      </c>
      <c r="D203" s="23"/>
      <c r="E203" s="25">
        <v>30</v>
      </c>
      <c r="F203" s="36" t="s">
        <v>152</v>
      </c>
      <c r="G203" s="113">
        <v>250</v>
      </c>
      <c r="H203" s="165">
        <f t="shared" si="6"/>
        <v>7500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56"/>
    </row>
    <row r="204" spans="1:22" x14ac:dyDescent="0.25">
      <c r="A204" s="25">
        <v>193</v>
      </c>
      <c r="B204" s="23"/>
      <c r="C204" s="1" t="s">
        <v>252</v>
      </c>
      <c r="D204" s="23"/>
      <c r="E204" s="25">
        <v>30</v>
      </c>
      <c r="F204" s="36" t="s">
        <v>152</v>
      </c>
      <c r="G204" s="113">
        <v>250</v>
      </c>
      <c r="H204" s="165">
        <f t="shared" si="6"/>
        <v>7500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56"/>
    </row>
    <row r="205" spans="1:22" x14ac:dyDescent="0.25">
      <c r="A205" s="25">
        <v>194</v>
      </c>
      <c r="B205" s="23"/>
      <c r="C205" s="1" t="s">
        <v>253</v>
      </c>
      <c r="D205" s="23"/>
      <c r="E205" s="25">
        <v>30</v>
      </c>
      <c r="F205" s="36" t="s">
        <v>152</v>
      </c>
      <c r="G205" s="113">
        <v>85</v>
      </c>
      <c r="H205" s="165">
        <f t="shared" si="6"/>
        <v>2550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56"/>
    </row>
    <row r="206" spans="1:22" x14ac:dyDescent="0.25">
      <c r="A206" s="25">
        <v>195</v>
      </c>
      <c r="B206" s="23"/>
      <c r="C206" s="1" t="s">
        <v>254</v>
      </c>
      <c r="D206" s="23"/>
      <c r="E206" s="25">
        <v>30</v>
      </c>
      <c r="F206" s="23" t="s">
        <v>309</v>
      </c>
      <c r="G206" s="113">
        <v>655</v>
      </c>
      <c r="H206" s="165">
        <f t="shared" si="6"/>
        <v>19650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56"/>
    </row>
    <row r="207" spans="1:22" x14ac:dyDescent="0.25">
      <c r="A207" s="25">
        <v>196</v>
      </c>
      <c r="B207" s="23"/>
      <c r="C207" s="1" t="s">
        <v>255</v>
      </c>
      <c r="D207" s="23"/>
      <c r="E207" s="25">
        <v>130</v>
      </c>
      <c r="F207" s="36" t="s">
        <v>152</v>
      </c>
      <c r="G207" s="113">
        <v>75</v>
      </c>
      <c r="H207" s="165">
        <f t="shared" si="6"/>
        <v>9750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56"/>
    </row>
    <row r="208" spans="1:22" x14ac:dyDescent="0.25">
      <c r="A208" s="25">
        <v>197</v>
      </c>
      <c r="B208" s="23"/>
      <c r="C208" s="1" t="s">
        <v>256</v>
      </c>
      <c r="D208" s="23"/>
      <c r="E208" s="25">
        <v>100</v>
      </c>
      <c r="F208" s="23" t="s">
        <v>309</v>
      </c>
      <c r="G208" s="113">
        <v>125</v>
      </c>
      <c r="H208" s="165">
        <f t="shared" si="6"/>
        <v>12500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56"/>
    </row>
    <row r="209" spans="1:22" x14ac:dyDescent="0.25">
      <c r="A209" s="25">
        <v>198</v>
      </c>
      <c r="B209" s="23"/>
      <c r="C209" s="4" t="s">
        <v>257</v>
      </c>
      <c r="D209" s="23"/>
      <c r="E209" s="25">
        <v>100</v>
      </c>
      <c r="F209" s="23" t="s">
        <v>309</v>
      </c>
      <c r="G209" s="113">
        <v>240</v>
      </c>
      <c r="H209" s="165">
        <f t="shared" si="6"/>
        <v>24000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56"/>
    </row>
    <row r="210" spans="1:22" x14ac:dyDescent="0.25">
      <c r="A210" s="25">
        <v>199</v>
      </c>
      <c r="B210" s="23"/>
      <c r="C210" s="1" t="s">
        <v>258</v>
      </c>
      <c r="D210" s="23"/>
      <c r="E210" s="25">
        <v>70</v>
      </c>
      <c r="F210" s="23" t="s">
        <v>567</v>
      </c>
      <c r="G210" s="113">
        <v>855</v>
      </c>
      <c r="H210" s="165">
        <f t="shared" si="6"/>
        <v>59850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56"/>
    </row>
    <row r="211" spans="1:22" x14ac:dyDescent="0.25">
      <c r="A211" s="25">
        <v>200</v>
      </c>
      <c r="B211" s="23"/>
      <c r="C211" s="1" t="s">
        <v>259</v>
      </c>
      <c r="D211" s="23"/>
      <c r="E211" s="25">
        <v>200</v>
      </c>
      <c r="F211" s="36" t="s">
        <v>152</v>
      </c>
      <c r="G211" s="113">
        <v>50</v>
      </c>
      <c r="H211" s="165">
        <f t="shared" si="6"/>
        <v>10000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56"/>
    </row>
    <row r="212" spans="1:22" x14ac:dyDescent="0.25">
      <c r="A212" s="25">
        <v>201</v>
      </c>
      <c r="B212" s="23"/>
      <c r="C212" s="1" t="s">
        <v>260</v>
      </c>
      <c r="D212" s="23"/>
      <c r="E212" s="25">
        <v>30</v>
      </c>
      <c r="F212" s="36" t="s">
        <v>152</v>
      </c>
      <c r="G212" s="113">
        <v>120</v>
      </c>
      <c r="H212" s="165">
        <f t="shared" si="6"/>
        <v>3600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56"/>
    </row>
    <row r="213" spans="1:22" x14ac:dyDescent="0.25">
      <c r="A213" s="25">
        <v>202</v>
      </c>
      <c r="B213" s="23"/>
      <c r="C213" s="1" t="s">
        <v>261</v>
      </c>
      <c r="D213" s="23"/>
      <c r="E213" s="25">
        <v>30</v>
      </c>
      <c r="F213" s="36" t="s">
        <v>152</v>
      </c>
      <c r="G213" s="113">
        <v>120</v>
      </c>
      <c r="H213" s="165">
        <f t="shared" si="6"/>
        <v>3600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56"/>
    </row>
    <row r="214" spans="1:22" x14ac:dyDescent="0.25">
      <c r="A214" s="25">
        <v>203</v>
      </c>
      <c r="B214" s="23"/>
      <c r="C214" s="14" t="s">
        <v>344</v>
      </c>
      <c r="D214" s="23"/>
      <c r="E214" s="84"/>
      <c r="F214" s="23"/>
      <c r="G214" s="165"/>
      <c r="H214" s="165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56"/>
    </row>
    <row r="215" spans="1:22" x14ac:dyDescent="0.25">
      <c r="A215" s="25">
        <v>204</v>
      </c>
      <c r="B215" s="23"/>
      <c r="C215" s="1" t="s">
        <v>268</v>
      </c>
      <c r="D215" s="23"/>
      <c r="E215" s="25">
        <v>25</v>
      </c>
      <c r="F215" s="8" t="s">
        <v>291</v>
      </c>
      <c r="G215" s="94">
        <v>499</v>
      </c>
      <c r="H215" s="165">
        <f>E215*G215</f>
        <v>12475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56"/>
    </row>
    <row r="216" spans="1:22" x14ac:dyDescent="0.25">
      <c r="A216" s="25">
        <v>205</v>
      </c>
      <c r="B216" s="23"/>
      <c r="C216" s="1" t="s">
        <v>269</v>
      </c>
      <c r="D216" s="23"/>
      <c r="E216" s="25">
        <v>25</v>
      </c>
      <c r="F216" s="8" t="s">
        <v>291</v>
      </c>
      <c r="G216" s="94">
        <v>499</v>
      </c>
      <c r="H216" s="165">
        <f>E216*G216</f>
        <v>12475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56"/>
    </row>
    <row r="217" spans="1:22" x14ac:dyDescent="0.25">
      <c r="A217" s="25">
        <v>206</v>
      </c>
      <c r="B217" s="23"/>
      <c r="C217" s="1" t="s">
        <v>270</v>
      </c>
      <c r="D217" s="23"/>
      <c r="E217" s="25">
        <v>25</v>
      </c>
      <c r="F217" s="8" t="s">
        <v>291</v>
      </c>
      <c r="G217" s="94">
        <v>499</v>
      </c>
      <c r="H217" s="165">
        <f>E217*G217</f>
        <v>12475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56"/>
    </row>
    <row r="218" spans="1:22" x14ac:dyDescent="0.25">
      <c r="A218" s="25">
        <v>207</v>
      </c>
      <c r="B218" s="23"/>
      <c r="C218" s="1" t="s">
        <v>271</v>
      </c>
      <c r="D218" s="23"/>
      <c r="E218" s="25">
        <v>25</v>
      </c>
      <c r="F218" s="8" t="s">
        <v>291</v>
      </c>
      <c r="G218" s="94">
        <v>499</v>
      </c>
      <c r="H218" s="165">
        <f>E218*G218</f>
        <v>12475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56"/>
    </row>
    <row r="219" spans="1:22" x14ac:dyDescent="0.25">
      <c r="A219" s="25">
        <v>208</v>
      </c>
      <c r="B219" s="23"/>
      <c r="C219" s="1" t="s">
        <v>272</v>
      </c>
      <c r="D219" s="23"/>
      <c r="E219" s="25">
        <v>25</v>
      </c>
      <c r="F219" s="36" t="s">
        <v>152</v>
      </c>
      <c r="G219" s="94">
        <v>1199</v>
      </c>
      <c r="H219" s="165">
        <f>E219*G219</f>
        <v>29975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56"/>
    </row>
    <row r="220" spans="1:22" x14ac:dyDescent="0.25">
      <c r="A220" s="25">
        <v>209</v>
      </c>
      <c r="B220" s="23"/>
      <c r="C220" s="14"/>
      <c r="D220" s="23"/>
      <c r="E220" s="84"/>
      <c r="F220" s="23"/>
      <c r="G220" s="165"/>
      <c r="H220" s="165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56"/>
    </row>
    <row r="221" spans="1:22" ht="30" x14ac:dyDescent="0.25">
      <c r="A221" s="25">
        <v>210</v>
      </c>
      <c r="B221" s="89" t="s">
        <v>61</v>
      </c>
      <c r="C221" s="90" t="s">
        <v>64</v>
      </c>
      <c r="D221" s="89" t="s">
        <v>27</v>
      </c>
      <c r="E221" s="89"/>
      <c r="F221" s="89"/>
      <c r="G221" s="163"/>
      <c r="H221" s="167">
        <v>80125</v>
      </c>
      <c r="I221" s="89" t="s">
        <v>52</v>
      </c>
      <c r="J221" s="60">
        <v>1</v>
      </c>
      <c r="K221" s="60"/>
      <c r="L221" s="60"/>
      <c r="M221" s="60">
        <v>1</v>
      </c>
      <c r="N221" s="60"/>
      <c r="O221" s="60"/>
      <c r="P221" s="60"/>
      <c r="Q221" s="60"/>
      <c r="R221" s="60"/>
      <c r="S221" s="60"/>
      <c r="T221" s="60"/>
      <c r="U221" s="60"/>
      <c r="V221" s="56"/>
    </row>
    <row r="222" spans="1:22" x14ac:dyDescent="0.25">
      <c r="A222" s="25">
        <v>211</v>
      </c>
      <c r="B222" s="23"/>
      <c r="C222" s="14" t="s">
        <v>343</v>
      </c>
      <c r="D222" s="23"/>
      <c r="E222" s="84"/>
      <c r="F222" s="23"/>
      <c r="G222" s="165"/>
      <c r="H222" s="165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56"/>
    </row>
    <row r="223" spans="1:22" x14ac:dyDescent="0.25">
      <c r="A223" s="25">
        <v>212</v>
      </c>
      <c r="B223" s="23"/>
      <c r="C223" s="63" t="s">
        <v>345</v>
      </c>
      <c r="D223" s="23"/>
      <c r="E223" s="64">
        <v>100</v>
      </c>
      <c r="F223" s="64" t="s">
        <v>37</v>
      </c>
      <c r="G223" s="168">
        <v>120</v>
      </c>
      <c r="H223" s="165">
        <f>E223*G223</f>
        <v>12000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56"/>
    </row>
    <row r="224" spans="1:22" x14ac:dyDescent="0.25">
      <c r="A224" s="25">
        <v>213</v>
      </c>
      <c r="B224" s="23"/>
      <c r="C224" s="63" t="s">
        <v>346</v>
      </c>
      <c r="D224" s="23"/>
      <c r="E224" s="64">
        <v>100</v>
      </c>
      <c r="F224" s="64" t="s">
        <v>37</v>
      </c>
      <c r="G224" s="168">
        <v>180</v>
      </c>
      <c r="H224" s="165">
        <f>E224*G224</f>
        <v>18000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56"/>
    </row>
    <row r="225" spans="1:22" x14ac:dyDescent="0.25">
      <c r="A225" s="25">
        <v>214</v>
      </c>
      <c r="B225" s="23"/>
      <c r="C225" s="63" t="s">
        <v>347</v>
      </c>
      <c r="D225" s="23"/>
      <c r="E225" s="64">
        <v>100</v>
      </c>
      <c r="F225" s="64" t="s">
        <v>37</v>
      </c>
      <c r="G225" s="168">
        <v>120</v>
      </c>
      <c r="H225" s="165">
        <f>E225*G225</f>
        <v>12000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56"/>
    </row>
    <row r="226" spans="1:22" x14ac:dyDescent="0.25">
      <c r="A226" s="25">
        <v>215</v>
      </c>
      <c r="B226" s="23"/>
      <c r="C226" s="63" t="s">
        <v>71</v>
      </c>
      <c r="D226" s="23"/>
      <c r="E226" s="84"/>
      <c r="F226" s="23"/>
      <c r="G226" s="165"/>
      <c r="H226" s="165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56"/>
    </row>
    <row r="227" spans="1:22" x14ac:dyDescent="0.25">
      <c r="A227" s="25">
        <v>216</v>
      </c>
      <c r="B227" s="23"/>
      <c r="C227" s="63" t="s">
        <v>348</v>
      </c>
      <c r="D227" s="23"/>
      <c r="E227" s="64">
        <v>25</v>
      </c>
      <c r="F227" s="36" t="s">
        <v>152</v>
      </c>
      <c r="G227" s="168">
        <v>1000</v>
      </c>
      <c r="H227" s="165">
        <f>E227*G227</f>
        <v>25000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56"/>
    </row>
    <row r="228" spans="1:22" x14ac:dyDescent="0.25">
      <c r="A228" s="25">
        <v>217</v>
      </c>
      <c r="B228" s="23"/>
      <c r="C228" s="63" t="s">
        <v>349</v>
      </c>
      <c r="D228" s="23"/>
      <c r="E228" s="64">
        <v>75</v>
      </c>
      <c r="F228" s="36" t="s">
        <v>152</v>
      </c>
      <c r="G228" s="168">
        <v>175</v>
      </c>
      <c r="H228" s="165">
        <f>E228*G228</f>
        <v>13125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56"/>
    </row>
    <row r="229" spans="1:22" x14ac:dyDescent="0.25">
      <c r="A229" s="25">
        <v>218</v>
      </c>
      <c r="B229" s="23"/>
      <c r="C229" s="14"/>
      <c r="D229" s="23"/>
      <c r="E229" s="84"/>
      <c r="F229" s="23"/>
      <c r="G229" s="165"/>
      <c r="H229" s="165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56"/>
    </row>
    <row r="230" spans="1:22" ht="30" x14ac:dyDescent="0.25">
      <c r="A230" s="25">
        <v>219</v>
      </c>
      <c r="B230" s="89" t="s">
        <v>61</v>
      </c>
      <c r="C230" s="90" t="s">
        <v>65</v>
      </c>
      <c r="D230" s="89" t="s">
        <v>27</v>
      </c>
      <c r="E230" s="89"/>
      <c r="F230" s="89"/>
      <c r="G230" s="163"/>
      <c r="H230" s="167">
        <v>1912099.98</v>
      </c>
      <c r="I230" s="89" t="s">
        <v>52</v>
      </c>
      <c r="J230" s="60"/>
      <c r="K230" s="60"/>
      <c r="L230" s="60"/>
      <c r="M230" s="60">
        <v>5</v>
      </c>
      <c r="N230" s="60"/>
      <c r="O230" s="60"/>
      <c r="P230" s="60"/>
      <c r="Q230" s="60">
        <v>1</v>
      </c>
      <c r="R230" s="60"/>
      <c r="S230" s="60"/>
      <c r="T230" s="60"/>
      <c r="U230" s="60"/>
      <c r="V230" s="56"/>
    </row>
    <row r="231" spans="1:22" x14ac:dyDescent="0.25">
      <c r="A231" s="25">
        <v>220</v>
      </c>
      <c r="B231" s="23"/>
      <c r="C231" s="14" t="s">
        <v>66</v>
      </c>
      <c r="D231" s="23"/>
      <c r="E231" s="84"/>
      <c r="F231" s="23"/>
      <c r="G231" s="165"/>
      <c r="H231" s="165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56"/>
    </row>
    <row r="232" spans="1:22" x14ac:dyDescent="0.25">
      <c r="A232" s="25">
        <v>221</v>
      </c>
      <c r="B232" s="23"/>
      <c r="C232" s="4" t="s">
        <v>350</v>
      </c>
      <c r="D232" s="23"/>
      <c r="E232" s="84">
        <v>52</v>
      </c>
      <c r="F232" s="23" t="s">
        <v>351</v>
      </c>
      <c r="G232" s="165">
        <v>9499.9996150000006</v>
      </c>
      <c r="H232" s="165">
        <f>E232*G232</f>
        <v>493999.97998000006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56"/>
    </row>
    <row r="233" spans="1:22" x14ac:dyDescent="0.25">
      <c r="A233" s="25">
        <v>222</v>
      </c>
      <c r="B233" s="23"/>
      <c r="C233" s="14" t="s">
        <v>55</v>
      </c>
      <c r="D233" s="23"/>
      <c r="E233" s="84"/>
      <c r="F233" s="23"/>
      <c r="G233" s="165"/>
      <c r="H233" s="165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56"/>
    </row>
    <row r="234" spans="1:22" x14ac:dyDescent="0.25">
      <c r="A234" s="25">
        <v>223</v>
      </c>
      <c r="B234" s="23"/>
      <c r="C234" s="1" t="s">
        <v>352</v>
      </c>
      <c r="D234" s="23"/>
      <c r="E234" s="99">
        <f>30*6</f>
        <v>180</v>
      </c>
      <c r="F234" s="23" t="s">
        <v>152</v>
      </c>
      <c r="G234" s="46">
        <v>245</v>
      </c>
      <c r="H234" s="165">
        <f>E234*G234</f>
        <v>44100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56"/>
    </row>
    <row r="235" spans="1:22" x14ac:dyDescent="0.25">
      <c r="A235" s="25">
        <v>224</v>
      </c>
      <c r="B235" s="23"/>
      <c r="C235" s="4" t="s">
        <v>277</v>
      </c>
      <c r="D235" s="23"/>
      <c r="E235" s="99">
        <f>10*6</f>
        <v>60</v>
      </c>
      <c r="F235" s="23" t="s">
        <v>152</v>
      </c>
      <c r="G235" s="46">
        <v>350</v>
      </c>
      <c r="H235" s="165">
        <f>E235*G235</f>
        <v>21000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56"/>
    </row>
    <row r="236" spans="1:22" x14ac:dyDescent="0.25">
      <c r="A236" s="25">
        <v>225</v>
      </c>
      <c r="B236" s="23"/>
      <c r="C236" s="69" t="s">
        <v>353</v>
      </c>
      <c r="D236" s="23"/>
      <c r="E236" s="99">
        <f>5*6</f>
        <v>30</v>
      </c>
      <c r="F236" s="23" t="s">
        <v>358</v>
      </c>
      <c r="G236" s="46">
        <v>400</v>
      </c>
      <c r="H236" s="165">
        <f>E236*G236</f>
        <v>12000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56"/>
    </row>
    <row r="237" spans="1:22" x14ac:dyDescent="0.25">
      <c r="A237" s="25">
        <v>226</v>
      </c>
      <c r="B237" s="23"/>
      <c r="C237" s="11" t="s">
        <v>355</v>
      </c>
      <c r="D237" s="23"/>
      <c r="E237" s="99">
        <f>10*34</f>
        <v>340</v>
      </c>
      <c r="F237" s="23" t="s">
        <v>357</v>
      </c>
      <c r="G237" s="46">
        <v>750</v>
      </c>
      <c r="H237" s="165">
        <f>E237*G237</f>
        <v>255000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56"/>
    </row>
    <row r="238" spans="1:22" x14ac:dyDescent="0.25">
      <c r="A238" s="25">
        <v>227</v>
      </c>
      <c r="B238" s="23"/>
      <c r="C238" s="11" t="s">
        <v>356</v>
      </c>
      <c r="D238" s="23"/>
      <c r="E238" s="99">
        <f>45*34</f>
        <v>1530</v>
      </c>
      <c r="F238" s="23" t="s">
        <v>152</v>
      </c>
      <c r="G238" s="46">
        <v>100</v>
      </c>
      <c r="H238" s="165">
        <f>E238*G238</f>
        <v>153000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56"/>
    </row>
    <row r="239" spans="1:22" x14ac:dyDescent="0.25">
      <c r="A239" s="25">
        <v>228</v>
      </c>
      <c r="B239" s="23"/>
      <c r="C239" s="14" t="s">
        <v>360</v>
      </c>
      <c r="D239" s="23"/>
      <c r="E239" s="84"/>
      <c r="F239" s="23"/>
      <c r="G239" s="165"/>
      <c r="H239" s="165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56"/>
    </row>
    <row r="240" spans="1:22" x14ac:dyDescent="0.25">
      <c r="A240" s="25">
        <v>229</v>
      </c>
      <c r="B240" s="23"/>
      <c r="C240" s="4" t="s">
        <v>354</v>
      </c>
      <c r="D240" s="23"/>
      <c r="E240" s="99">
        <f>35*6</f>
        <v>210</v>
      </c>
      <c r="F240" s="23" t="s">
        <v>37</v>
      </c>
      <c r="G240" s="46">
        <v>120</v>
      </c>
      <c r="H240" s="165">
        <f>E240*G240</f>
        <v>25200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56"/>
    </row>
    <row r="241" spans="1:22" x14ac:dyDescent="0.25">
      <c r="A241" s="25">
        <v>230</v>
      </c>
      <c r="B241" s="23"/>
      <c r="C241" s="4" t="s">
        <v>302</v>
      </c>
      <c r="D241" s="23"/>
      <c r="E241" s="99">
        <f>35*6</f>
        <v>210</v>
      </c>
      <c r="F241" s="23" t="s">
        <v>37</v>
      </c>
      <c r="G241" s="46">
        <v>120</v>
      </c>
      <c r="H241" s="165">
        <f>E241*G241</f>
        <v>25200</v>
      </c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56"/>
    </row>
    <row r="242" spans="1:22" x14ac:dyDescent="0.25">
      <c r="A242" s="25">
        <v>231</v>
      </c>
      <c r="B242" s="23"/>
      <c r="C242" s="14" t="s">
        <v>359</v>
      </c>
      <c r="D242" s="23"/>
      <c r="E242" s="84"/>
      <c r="F242" s="23"/>
      <c r="G242" s="165"/>
      <c r="H242" s="165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56"/>
    </row>
    <row r="243" spans="1:22" x14ac:dyDescent="0.25">
      <c r="A243" s="25">
        <v>232</v>
      </c>
      <c r="B243" s="23"/>
      <c r="C243" s="4" t="s">
        <v>354</v>
      </c>
      <c r="D243" s="23"/>
      <c r="E243" s="99">
        <f>35*34</f>
        <v>1190</v>
      </c>
      <c r="F243" s="23" t="s">
        <v>152</v>
      </c>
      <c r="G243" s="46">
        <v>120</v>
      </c>
      <c r="H243" s="165">
        <f>E243*G243</f>
        <v>142800</v>
      </c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56"/>
    </row>
    <row r="244" spans="1:22" x14ac:dyDescent="0.25">
      <c r="A244" s="25">
        <v>233</v>
      </c>
      <c r="B244" s="23"/>
      <c r="C244" s="4" t="s">
        <v>302</v>
      </c>
      <c r="D244" s="23"/>
      <c r="E244" s="99">
        <f>35*34</f>
        <v>1190</v>
      </c>
      <c r="F244" s="23" t="s">
        <v>152</v>
      </c>
      <c r="G244" s="46">
        <v>120</v>
      </c>
      <c r="H244" s="165">
        <f>E244*G244</f>
        <v>142800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56"/>
    </row>
    <row r="245" spans="1:22" x14ac:dyDescent="0.25">
      <c r="A245" s="25">
        <v>234</v>
      </c>
      <c r="B245" s="23"/>
      <c r="C245" s="14" t="s">
        <v>67</v>
      </c>
      <c r="D245" s="23"/>
      <c r="E245" s="84"/>
      <c r="F245" s="23"/>
      <c r="G245" s="165"/>
      <c r="H245" s="165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56"/>
    </row>
    <row r="246" spans="1:22" x14ac:dyDescent="0.25">
      <c r="A246" s="25">
        <v>235</v>
      </c>
      <c r="B246" s="23"/>
      <c r="C246" s="93" t="s">
        <v>361</v>
      </c>
      <c r="D246" s="23"/>
      <c r="E246" s="23">
        <v>12</v>
      </c>
      <c r="F246" s="36" t="s">
        <v>152</v>
      </c>
      <c r="G246" s="101">
        <v>14500</v>
      </c>
      <c r="H246" s="165">
        <f>E246*G246</f>
        <v>174000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56"/>
    </row>
    <row r="247" spans="1:22" x14ac:dyDescent="0.25">
      <c r="A247" s="25">
        <v>236</v>
      </c>
      <c r="B247" s="23"/>
      <c r="C247" s="93" t="s">
        <v>362</v>
      </c>
      <c r="D247" s="23"/>
      <c r="E247" s="23">
        <v>12</v>
      </c>
      <c r="F247" s="36" t="s">
        <v>152</v>
      </c>
      <c r="G247" s="101">
        <v>13500</v>
      </c>
      <c r="H247" s="165">
        <f>E247*G247</f>
        <v>162000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56"/>
    </row>
    <row r="248" spans="1:22" x14ac:dyDescent="0.25">
      <c r="A248" s="25">
        <v>237</v>
      </c>
      <c r="B248" s="23"/>
      <c r="C248" s="93" t="s">
        <v>363</v>
      </c>
      <c r="D248" s="23"/>
      <c r="E248" s="23">
        <v>12</v>
      </c>
      <c r="F248" s="36" t="s">
        <v>152</v>
      </c>
      <c r="G248" s="101">
        <v>12000</v>
      </c>
      <c r="H248" s="165">
        <f>E248*G248</f>
        <v>144000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56"/>
    </row>
    <row r="249" spans="1:22" x14ac:dyDescent="0.25">
      <c r="A249" s="25">
        <v>238</v>
      </c>
      <c r="B249" s="23"/>
      <c r="C249" s="14" t="s">
        <v>56</v>
      </c>
      <c r="D249" s="23"/>
      <c r="E249" s="84"/>
      <c r="F249" s="23"/>
      <c r="G249" s="165"/>
      <c r="H249" s="165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56"/>
    </row>
    <row r="250" spans="1:22" x14ac:dyDescent="0.25">
      <c r="A250" s="25">
        <v>239</v>
      </c>
      <c r="B250" s="23"/>
      <c r="C250" s="4" t="s">
        <v>364</v>
      </c>
      <c r="D250" s="23"/>
      <c r="E250" s="99">
        <f>15*6</f>
        <v>90</v>
      </c>
      <c r="F250" s="8" t="s">
        <v>291</v>
      </c>
      <c r="G250" s="46">
        <v>500</v>
      </c>
      <c r="H250" s="165">
        <f>E250*G250</f>
        <v>45000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56"/>
    </row>
    <row r="251" spans="1:22" x14ac:dyDescent="0.25">
      <c r="A251" s="25">
        <v>240</v>
      </c>
      <c r="B251" s="23"/>
      <c r="C251" s="4" t="s">
        <v>365</v>
      </c>
      <c r="D251" s="23"/>
      <c r="E251" s="99">
        <f>15*6</f>
        <v>90</v>
      </c>
      <c r="F251" s="8" t="s">
        <v>291</v>
      </c>
      <c r="G251" s="46">
        <v>400</v>
      </c>
      <c r="H251" s="165">
        <f>E251*G251</f>
        <v>36000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56"/>
    </row>
    <row r="252" spans="1:22" x14ac:dyDescent="0.25">
      <c r="A252" s="25">
        <v>241</v>
      </c>
      <c r="B252" s="23"/>
      <c r="C252" s="4" t="s">
        <v>366</v>
      </c>
      <c r="D252" s="23"/>
      <c r="E252" s="99">
        <f>15*6</f>
        <v>90</v>
      </c>
      <c r="F252" s="8" t="s">
        <v>291</v>
      </c>
      <c r="G252" s="46">
        <v>400</v>
      </c>
      <c r="H252" s="165">
        <f>E252*G252</f>
        <v>36000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56"/>
    </row>
    <row r="253" spans="1:22" x14ac:dyDescent="0.25">
      <c r="A253" s="25">
        <v>242</v>
      </c>
      <c r="B253" s="23"/>
      <c r="C253" s="14"/>
      <c r="D253" s="23"/>
      <c r="E253" s="84"/>
      <c r="F253" s="23"/>
      <c r="G253" s="165"/>
      <c r="H253" s="165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56"/>
    </row>
    <row r="254" spans="1:22" ht="30" x14ac:dyDescent="0.25">
      <c r="A254" s="25">
        <v>243</v>
      </c>
      <c r="B254" s="89" t="s">
        <v>61</v>
      </c>
      <c r="C254" s="90" t="s">
        <v>72</v>
      </c>
      <c r="D254" s="89" t="s">
        <v>27</v>
      </c>
      <c r="E254" s="89"/>
      <c r="F254" s="89"/>
      <c r="G254" s="163"/>
      <c r="H254" s="167">
        <v>2016000</v>
      </c>
      <c r="I254" s="89" t="s">
        <v>52</v>
      </c>
      <c r="J254" s="60"/>
      <c r="K254" s="60"/>
      <c r="L254" s="60"/>
      <c r="M254" s="60">
        <v>9</v>
      </c>
      <c r="N254" s="60"/>
      <c r="O254" s="60"/>
      <c r="P254" s="60">
        <v>1</v>
      </c>
      <c r="Q254" s="60"/>
      <c r="R254" s="60"/>
      <c r="S254" s="60"/>
      <c r="T254" s="60"/>
      <c r="U254" s="60"/>
      <c r="V254" s="56"/>
    </row>
    <row r="255" spans="1:22" x14ac:dyDescent="0.25">
      <c r="A255" s="25">
        <v>244</v>
      </c>
      <c r="B255" s="23"/>
      <c r="C255" s="14" t="s">
        <v>1308</v>
      </c>
      <c r="D255" s="23"/>
      <c r="E255" s="84"/>
      <c r="F255" s="23"/>
      <c r="G255" s="165"/>
      <c r="H255" s="165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56"/>
    </row>
    <row r="256" spans="1:22" x14ac:dyDescent="0.25">
      <c r="A256" s="25">
        <v>245</v>
      </c>
      <c r="B256" s="23"/>
      <c r="C256" s="1" t="s">
        <v>981</v>
      </c>
      <c r="D256" s="1"/>
      <c r="E256" s="2">
        <f>2*1120</f>
        <v>2240</v>
      </c>
      <c r="F256" s="36" t="s">
        <v>152</v>
      </c>
      <c r="G256" s="3">
        <v>550</v>
      </c>
      <c r="H256" s="5">
        <f>G256*E256</f>
        <v>1232000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56"/>
    </row>
    <row r="257" spans="1:22" x14ac:dyDescent="0.25">
      <c r="A257" s="25">
        <v>246</v>
      </c>
      <c r="B257" s="23"/>
      <c r="C257" s="4" t="s">
        <v>410</v>
      </c>
      <c r="D257" s="1"/>
      <c r="E257" s="36">
        <v>1120</v>
      </c>
      <c r="F257" s="36" t="s">
        <v>152</v>
      </c>
      <c r="G257" s="100">
        <v>14</v>
      </c>
      <c r="H257" s="5">
        <f t="shared" ref="H257:H272" si="7">G257*E257</f>
        <v>15680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56"/>
    </row>
    <row r="258" spans="1:22" x14ac:dyDescent="0.25">
      <c r="A258" s="25">
        <v>247</v>
      </c>
      <c r="B258" s="23"/>
      <c r="C258" s="4" t="s">
        <v>278</v>
      </c>
      <c r="D258" s="1"/>
      <c r="E258" s="36">
        <f>2*1120</f>
        <v>2240</v>
      </c>
      <c r="F258" s="36" t="s">
        <v>152</v>
      </c>
      <c r="G258" s="100">
        <v>15</v>
      </c>
      <c r="H258" s="5">
        <f t="shared" si="7"/>
        <v>33600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56"/>
    </row>
    <row r="259" spans="1:22" x14ac:dyDescent="0.25">
      <c r="A259" s="25">
        <v>248</v>
      </c>
      <c r="B259" s="23"/>
      <c r="C259" s="4" t="s">
        <v>383</v>
      </c>
      <c r="D259" s="1"/>
      <c r="E259" s="36">
        <f>3*1120</f>
        <v>3360</v>
      </c>
      <c r="F259" s="36" t="s">
        <v>152</v>
      </c>
      <c r="G259" s="100">
        <v>29</v>
      </c>
      <c r="H259" s="5">
        <f t="shared" si="7"/>
        <v>97440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56"/>
    </row>
    <row r="260" spans="1:22" x14ac:dyDescent="0.25">
      <c r="A260" s="25">
        <v>249</v>
      </c>
      <c r="B260" s="23"/>
      <c r="C260" s="4" t="s">
        <v>411</v>
      </c>
      <c r="D260" s="1"/>
      <c r="E260" s="36">
        <v>1120</v>
      </c>
      <c r="F260" s="36" t="s">
        <v>152</v>
      </c>
      <c r="G260" s="100">
        <v>50</v>
      </c>
      <c r="H260" s="5">
        <f t="shared" si="7"/>
        <v>56000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56"/>
    </row>
    <row r="261" spans="1:22" x14ac:dyDescent="0.25">
      <c r="A261" s="25">
        <v>250</v>
      </c>
      <c r="B261" s="23"/>
      <c r="C261" s="4" t="s">
        <v>412</v>
      </c>
      <c r="D261" s="1"/>
      <c r="E261" s="36">
        <v>1120</v>
      </c>
      <c r="F261" s="36" t="s">
        <v>152</v>
      </c>
      <c r="G261" s="100">
        <v>12</v>
      </c>
      <c r="H261" s="5">
        <f t="shared" si="7"/>
        <v>13440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56"/>
    </row>
    <row r="262" spans="1:22" x14ac:dyDescent="0.25">
      <c r="A262" s="25">
        <v>251</v>
      </c>
      <c r="B262" s="23"/>
      <c r="C262" s="4" t="s">
        <v>375</v>
      </c>
      <c r="D262" s="1"/>
      <c r="E262" s="36">
        <f>12*1120</f>
        <v>13440</v>
      </c>
      <c r="F262" s="36" t="s">
        <v>152</v>
      </c>
      <c r="G262" s="100">
        <v>1</v>
      </c>
      <c r="H262" s="5">
        <f t="shared" si="7"/>
        <v>13440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56"/>
    </row>
    <row r="263" spans="1:22" x14ac:dyDescent="0.25">
      <c r="A263" s="25">
        <v>252</v>
      </c>
      <c r="B263" s="23"/>
      <c r="C263" s="4" t="s">
        <v>413</v>
      </c>
      <c r="D263" s="1"/>
      <c r="E263" s="36">
        <f>5*1120</f>
        <v>5600</v>
      </c>
      <c r="F263" s="36" t="s">
        <v>152</v>
      </c>
      <c r="G263" s="100">
        <v>8</v>
      </c>
      <c r="H263" s="5">
        <f t="shared" si="7"/>
        <v>44800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56"/>
    </row>
    <row r="264" spans="1:22" x14ac:dyDescent="0.25">
      <c r="A264" s="25">
        <v>253</v>
      </c>
      <c r="B264" s="23"/>
      <c r="C264" s="4" t="s">
        <v>414</v>
      </c>
      <c r="D264" s="1"/>
      <c r="E264" s="36">
        <f>5*1120</f>
        <v>5600</v>
      </c>
      <c r="F264" s="36" t="s">
        <v>152</v>
      </c>
      <c r="G264" s="100">
        <v>8</v>
      </c>
      <c r="H264" s="5">
        <f t="shared" si="7"/>
        <v>44800</v>
      </c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56"/>
    </row>
    <row r="265" spans="1:22" x14ac:dyDescent="0.25">
      <c r="A265" s="25">
        <v>254</v>
      </c>
      <c r="B265" s="23"/>
      <c r="C265" s="4" t="s">
        <v>415</v>
      </c>
      <c r="D265" s="1"/>
      <c r="E265" s="36">
        <f>5*1120</f>
        <v>5600</v>
      </c>
      <c r="F265" s="36" t="s">
        <v>152</v>
      </c>
      <c r="G265" s="100">
        <v>8</v>
      </c>
      <c r="H265" s="5">
        <f t="shared" si="7"/>
        <v>44800</v>
      </c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56"/>
    </row>
    <row r="266" spans="1:22" x14ac:dyDescent="0.25">
      <c r="A266" s="25">
        <v>255</v>
      </c>
      <c r="B266" s="23"/>
      <c r="C266" s="4" t="s">
        <v>983</v>
      </c>
      <c r="D266" s="1"/>
      <c r="E266" s="36">
        <v>1120</v>
      </c>
      <c r="F266" s="36" t="s">
        <v>128</v>
      </c>
      <c r="G266" s="100">
        <v>50</v>
      </c>
      <c r="H266" s="5">
        <f t="shared" si="7"/>
        <v>56000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56"/>
    </row>
    <row r="267" spans="1:22" x14ac:dyDescent="0.25">
      <c r="A267" s="25">
        <v>256</v>
      </c>
      <c r="B267" s="23"/>
      <c r="C267" s="4" t="s">
        <v>984</v>
      </c>
      <c r="D267" s="1"/>
      <c r="E267" s="36">
        <v>1120</v>
      </c>
      <c r="F267" s="36" t="s">
        <v>986</v>
      </c>
      <c r="G267" s="100">
        <v>35</v>
      </c>
      <c r="H267" s="5">
        <f t="shared" si="7"/>
        <v>39200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56"/>
    </row>
    <row r="268" spans="1:22" x14ac:dyDescent="0.25">
      <c r="A268" s="25">
        <v>257</v>
      </c>
      <c r="B268" s="23"/>
      <c r="C268" s="4" t="s">
        <v>1307</v>
      </c>
      <c r="D268" s="1"/>
      <c r="E268" s="36">
        <v>1120</v>
      </c>
      <c r="F268" s="36" t="s">
        <v>152</v>
      </c>
      <c r="G268" s="100">
        <v>80</v>
      </c>
      <c r="H268" s="5">
        <f t="shared" si="7"/>
        <v>89600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56"/>
    </row>
    <row r="269" spans="1:22" x14ac:dyDescent="0.25">
      <c r="A269" s="25">
        <v>258</v>
      </c>
      <c r="B269" s="23"/>
      <c r="C269" s="4" t="s">
        <v>419</v>
      </c>
      <c r="D269" s="1"/>
      <c r="E269" s="36">
        <v>1120</v>
      </c>
      <c r="F269" s="36" t="s">
        <v>152</v>
      </c>
      <c r="G269" s="100">
        <v>50</v>
      </c>
      <c r="H269" s="5">
        <f t="shared" si="7"/>
        <v>56000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56"/>
    </row>
    <row r="270" spans="1:22" x14ac:dyDescent="0.25">
      <c r="A270" s="25">
        <v>259</v>
      </c>
      <c r="B270" s="23"/>
      <c r="C270" s="4" t="s">
        <v>985</v>
      </c>
      <c r="D270" s="1"/>
      <c r="E270" s="36">
        <v>1120</v>
      </c>
      <c r="F270" s="36" t="s">
        <v>152</v>
      </c>
      <c r="G270" s="100">
        <v>40</v>
      </c>
      <c r="H270" s="5">
        <f t="shared" si="7"/>
        <v>44800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56"/>
    </row>
    <row r="271" spans="1:22" x14ac:dyDescent="0.25">
      <c r="A271" s="25">
        <v>260</v>
      </c>
      <c r="B271" s="23"/>
      <c r="C271" s="4" t="s">
        <v>417</v>
      </c>
      <c r="D271" s="1"/>
      <c r="E271" s="36">
        <v>1120</v>
      </c>
      <c r="F271" s="36" t="s">
        <v>152</v>
      </c>
      <c r="G271" s="100">
        <v>35</v>
      </c>
      <c r="H271" s="5">
        <f t="shared" si="7"/>
        <v>39200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56"/>
    </row>
    <row r="272" spans="1:22" x14ac:dyDescent="0.25">
      <c r="A272" s="25">
        <v>261</v>
      </c>
      <c r="B272" s="23"/>
      <c r="C272" s="4" t="s">
        <v>421</v>
      </c>
      <c r="D272" s="1"/>
      <c r="E272" s="36">
        <v>1120</v>
      </c>
      <c r="F272" s="36" t="s">
        <v>152</v>
      </c>
      <c r="G272" s="100">
        <v>85</v>
      </c>
      <c r="H272" s="5">
        <f t="shared" si="7"/>
        <v>95200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56"/>
    </row>
    <row r="273" spans="1:22" x14ac:dyDescent="0.25">
      <c r="A273" s="25">
        <v>262</v>
      </c>
      <c r="B273" s="8"/>
      <c r="C273" s="4"/>
      <c r="D273" s="1"/>
      <c r="E273" s="36"/>
      <c r="F273" s="36"/>
      <c r="G273" s="100"/>
      <c r="H273" s="5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56"/>
    </row>
    <row r="274" spans="1:22" ht="30" x14ac:dyDescent="0.25">
      <c r="A274" s="25">
        <v>263</v>
      </c>
      <c r="B274" s="89" t="s">
        <v>61</v>
      </c>
      <c r="C274" s="90" t="s">
        <v>68</v>
      </c>
      <c r="D274" s="89" t="s">
        <v>27</v>
      </c>
      <c r="E274" s="89"/>
      <c r="F274" s="89"/>
      <c r="G274" s="163"/>
      <c r="H274" s="167">
        <v>199000</v>
      </c>
      <c r="I274" s="89" t="s">
        <v>52</v>
      </c>
      <c r="J274" s="60"/>
      <c r="K274" s="60"/>
      <c r="L274" s="60"/>
      <c r="M274" s="60">
        <v>1</v>
      </c>
      <c r="N274" s="60"/>
      <c r="O274" s="60"/>
      <c r="P274" s="60"/>
      <c r="Q274" s="60"/>
      <c r="R274" s="60"/>
      <c r="S274" s="60">
        <v>1</v>
      </c>
      <c r="T274" s="60"/>
      <c r="U274" s="60"/>
      <c r="V274" s="56"/>
    </row>
    <row r="275" spans="1:22" x14ac:dyDescent="0.25">
      <c r="A275" s="25">
        <v>264</v>
      </c>
      <c r="B275" s="23"/>
      <c r="C275" s="14" t="s">
        <v>55</v>
      </c>
      <c r="D275" s="23"/>
      <c r="E275" s="84"/>
      <c r="F275" s="23"/>
      <c r="G275" s="165"/>
      <c r="H275" s="165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56"/>
    </row>
    <row r="276" spans="1:22" x14ac:dyDescent="0.25">
      <c r="A276" s="25">
        <v>265</v>
      </c>
      <c r="B276" s="23"/>
      <c r="C276" s="63" t="s">
        <v>304</v>
      </c>
      <c r="D276" s="23"/>
      <c r="E276" s="64">
        <v>40</v>
      </c>
      <c r="F276" s="23" t="s">
        <v>309</v>
      </c>
      <c r="G276" s="168">
        <v>50</v>
      </c>
      <c r="H276" s="165">
        <f>E276*G276</f>
        <v>2000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56"/>
    </row>
    <row r="277" spans="1:22" x14ac:dyDescent="0.25">
      <c r="A277" s="25">
        <v>266</v>
      </c>
      <c r="B277" s="23"/>
      <c r="C277" s="63" t="s">
        <v>278</v>
      </c>
      <c r="D277" s="23"/>
      <c r="E277" s="64">
        <v>100</v>
      </c>
      <c r="F277" s="36" t="s">
        <v>152</v>
      </c>
      <c r="G277" s="168">
        <v>28.8</v>
      </c>
      <c r="H277" s="165">
        <f t="shared" ref="H277:H281" si="8">E277*G277</f>
        <v>2880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56"/>
    </row>
    <row r="278" spans="1:22" x14ac:dyDescent="0.25">
      <c r="A278" s="25">
        <v>267</v>
      </c>
      <c r="B278" s="23"/>
      <c r="C278" s="63" t="s">
        <v>305</v>
      </c>
      <c r="D278" s="23"/>
      <c r="E278" s="64">
        <v>100</v>
      </c>
      <c r="F278" s="36" t="s">
        <v>152</v>
      </c>
      <c r="G278" s="168">
        <v>19.2</v>
      </c>
      <c r="H278" s="165">
        <f t="shared" si="8"/>
        <v>1920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56"/>
    </row>
    <row r="279" spans="1:22" x14ac:dyDescent="0.25">
      <c r="A279" s="25">
        <v>268</v>
      </c>
      <c r="B279" s="23"/>
      <c r="C279" s="63" t="s">
        <v>306</v>
      </c>
      <c r="D279" s="23"/>
      <c r="E279" s="64">
        <v>50</v>
      </c>
      <c r="F279" s="25" t="s">
        <v>310</v>
      </c>
      <c r="G279" s="168">
        <v>34</v>
      </c>
      <c r="H279" s="165">
        <f t="shared" si="8"/>
        <v>1700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56"/>
    </row>
    <row r="280" spans="1:22" x14ac:dyDescent="0.25">
      <c r="A280" s="25">
        <v>269</v>
      </c>
      <c r="B280" s="23"/>
      <c r="C280" s="63" t="s">
        <v>307</v>
      </c>
      <c r="D280" s="23"/>
      <c r="E280" s="64">
        <v>20</v>
      </c>
      <c r="F280" s="23" t="s">
        <v>309</v>
      </c>
      <c r="G280" s="168">
        <v>250</v>
      </c>
      <c r="H280" s="165">
        <f t="shared" si="8"/>
        <v>5000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56"/>
    </row>
    <row r="281" spans="1:22" x14ac:dyDescent="0.25">
      <c r="A281" s="25">
        <v>270</v>
      </c>
      <c r="B281" s="23"/>
      <c r="C281" s="63" t="s">
        <v>308</v>
      </c>
      <c r="D281" s="23"/>
      <c r="E281" s="64">
        <v>100</v>
      </c>
      <c r="F281" s="64" t="s">
        <v>310</v>
      </c>
      <c r="G281" s="168">
        <v>175</v>
      </c>
      <c r="H281" s="165">
        <f t="shared" si="8"/>
        <v>17500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56"/>
    </row>
    <row r="282" spans="1:22" x14ac:dyDescent="0.25">
      <c r="A282" s="25">
        <v>271</v>
      </c>
      <c r="B282" s="23"/>
      <c r="C282" s="14" t="s">
        <v>367</v>
      </c>
      <c r="D282" s="23"/>
      <c r="E282" s="84"/>
      <c r="F282" s="23"/>
      <c r="G282" s="165"/>
      <c r="H282" s="165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56"/>
    </row>
    <row r="283" spans="1:22" x14ac:dyDescent="0.25">
      <c r="A283" s="25">
        <v>272</v>
      </c>
      <c r="B283" s="23"/>
      <c r="C283" s="63" t="s">
        <v>354</v>
      </c>
      <c r="D283" s="23"/>
      <c r="E283" s="64">
        <f>100*4</f>
        <v>400</v>
      </c>
      <c r="F283" s="64" t="s">
        <v>37</v>
      </c>
      <c r="G283" s="168">
        <v>120</v>
      </c>
      <c r="H283" s="165">
        <f>E283*G283</f>
        <v>48000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56"/>
    </row>
    <row r="284" spans="1:22" x14ac:dyDescent="0.25">
      <c r="A284" s="25">
        <v>273</v>
      </c>
      <c r="B284" s="23"/>
      <c r="C284" s="63" t="s">
        <v>247</v>
      </c>
      <c r="D284" s="23"/>
      <c r="E284" s="64">
        <f t="shared" ref="E284:E285" si="9">100*4</f>
        <v>400</v>
      </c>
      <c r="F284" s="64" t="s">
        <v>37</v>
      </c>
      <c r="G284" s="168">
        <v>180</v>
      </c>
      <c r="H284" s="165">
        <f>E284*G284</f>
        <v>72000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56"/>
    </row>
    <row r="285" spans="1:22" x14ac:dyDescent="0.25">
      <c r="A285" s="25">
        <v>274</v>
      </c>
      <c r="B285" s="23"/>
      <c r="C285" s="63" t="s">
        <v>302</v>
      </c>
      <c r="D285" s="23"/>
      <c r="E285" s="64">
        <f t="shared" si="9"/>
        <v>400</v>
      </c>
      <c r="F285" s="64" t="s">
        <v>37</v>
      </c>
      <c r="G285" s="168">
        <v>120</v>
      </c>
      <c r="H285" s="165">
        <f>E285*G285</f>
        <v>48000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56"/>
    </row>
    <row r="286" spans="1:22" x14ac:dyDescent="0.25">
      <c r="A286" s="25">
        <v>275</v>
      </c>
      <c r="B286" s="23"/>
      <c r="C286" s="14"/>
      <c r="D286" s="23"/>
      <c r="E286" s="84"/>
      <c r="F286" s="23"/>
      <c r="G286" s="165"/>
      <c r="H286" s="165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56"/>
    </row>
    <row r="287" spans="1:22" ht="45" x14ac:dyDescent="0.25">
      <c r="A287" s="25">
        <v>276</v>
      </c>
      <c r="B287" s="89" t="s">
        <v>61</v>
      </c>
      <c r="C287" s="90" t="s">
        <v>596</v>
      </c>
      <c r="D287" s="89" t="s">
        <v>27</v>
      </c>
      <c r="E287" s="89"/>
      <c r="F287" s="89"/>
      <c r="G287" s="163"/>
      <c r="H287" s="167">
        <v>200920</v>
      </c>
      <c r="I287" s="89" t="s">
        <v>52</v>
      </c>
      <c r="J287" s="60">
        <v>1</v>
      </c>
      <c r="K287" s="60"/>
      <c r="L287" s="60"/>
      <c r="M287" s="60"/>
      <c r="N287" s="60">
        <v>1</v>
      </c>
      <c r="O287" s="60"/>
      <c r="P287" s="60"/>
      <c r="Q287" s="60">
        <v>1</v>
      </c>
      <c r="R287" s="60"/>
      <c r="S287" s="60"/>
      <c r="T287" s="60"/>
      <c r="U287" s="60"/>
      <c r="V287" s="56"/>
    </row>
    <row r="288" spans="1:22" x14ac:dyDescent="0.25">
      <c r="A288" s="25">
        <v>277</v>
      </c>
      <c r="B288" s="23"/>
      <c r="C288" s="14" t="s">
        <v>479</v>
      </c>
      <c r="D288" s="23"/>
      <c r="E288" s="84">
        <v>5</v>
      </c>
      <c r="F288" s="23" t="s">
        <v>357</v>
      </c>
      <c r="G288" s="165">
        <v>230</v>
      </c>
      <c r="H288" s="165">
        <v>1150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56"/>
    </row>
    <row r="289" spans="1:22" x14ac:dyDescent="0.25">
      <c r="A289" s="25">
        <v>278</v>
      </c>
      <c r="B289" s="23"/>
      <c r="C289" s="14" t="s">
        <v>480</v>
      </c>
      <c r="D289" s="23"/>
      <c r="E289" s="84">
        <v>3</v>
      </c>
      <c r="F289" s="23" t="s">
        <v>357</v>
      </c>
      <c r="G289" s="165">
        <v>190</v>
      </c>
      <c r="H289" s="165">
        <v>570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56"/>
    </row>
    <row r="290" spans="1:22" x14ac:dyDescent="0.25">
      <c r="A290" s="25">
        <v>279</v>
      </c>
      <c r="B290" s="23"/>
      <c r="C290" s="14" t="s">
        <v>481</v>
      </c>
      <c r="D290" s="23"/>
      <c r="E290" s="84">
        <v>3</v>
      </c>
      <c r="F290" s="8" t="s">
        <v>291</v>
      </c>
      <c r="G290" s="165">
        <v>400</v>
      </c>
      <c r="H290" s="165">
        <v>1200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56"/>
    </row>
    <row r="291" spans="1:22" x14ac:dyDescent="0.25">
      <c r="A291" s="25">
        <v>280</v>
      </c>
      <c r="B291" s="23"/>
      <c r="C291" s="14" t="s">
        <v>483</v>
      </c>
      <c r="D291" s="23"/>
      <c r="E291" s="84">
        <v>2</v>
      </c>
      <c r="F291" s="8" t="s">
        <v>291</v>
      </c>
      <c r="G291" s="165">
        <v>400</v>
      </c>
      <c r="H291" s="165">
        <v>800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56"/>
    </row>
    <row r="292" spans="1:22" x14ac:dyDescent="0.25">
      <c r="A292" s="25">
        <v>281</v>
      </c>
      <c r="B292" s="23"/>
      <c r="C292" s="14" t="s">
        <v>482</v>
      </c>
      <c r="D292" s="23"/>
      <c r="E292" s="84">
        <v>2</v>
      </c>
      <c r="F292" s="8" t="s">
        <v>291</v>
      </c>
      <c r="G292" s="165">
        <v>400</v>
      </c>
      <c r="H292" s="165">
        <v>800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56"/>
    </row>
    <row r="293" spans="1:22" x14ac:dyDescent="0.25">
      <c r="A293" s="25">
        <v>282</v>
      </c>
      <c r="B293" s="23"/>
      <c r="C293" s="14" t="s">
        <v>484</v>
      </c>
      <c r="D293" s="23"/>
      <c r="E293" s="84">
        <v>2</v>
      </c>
      <c r="F293" s="8" t="s">
        <v>291</v>
      </c>
      <c r="G293" s="165">
        <v>400</v>
      </c>
      <c r="H293" s="165">
        <v>800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56"/>
    </row>
    <row r="294" spans="1:22" x14ac:dyDescent="0.25">
      <c r="A294" s="25">
        <v>283</v>
      </c>
      <c r="B294" s="23"/>
      <c r="C294" s="14" t="s">
        <v>485</v>
      </c>
      <c r="D294" s="23"/>
      <c r="E294" s="84">
        <v>10</v>
      </c>
      <c r="F294" s="23" t="s">
        <v>309</v>
      </c>
      <c r="G294" s="165">
        <v>100</v>
      </c>
      <c r="H294" s="165">
        <v>1000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56"/>
    </row>
    <row r="295" spans="1:22" x14ac:dyDescent="0.25">
      <c r="A295" s="25">
        <v>284</v>
      </c>
      <c r="B295" s="23"/>
      <c r="C295" s="14" t="s">
        <v>282</v>
      </c>
      <c r="D295" s="23"/>
      <c r="E295" s="84">
        <v>105</v>
      </c>
      <c r="F295" s="36" t="s">
        <v>152</v>
      </c>
      <c r="G295" s="165">
        <v>120</v>
      </c>
      <c r="H295" s="165">
        <v>12600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56"/>
    </row>
    <row r="296" spans="1:22" x14ac:dyDescent="0.25">
      <c r="A296" s="25">
        <v>285</v>
      </c>
      <c r="B296" s="23"/>
      <c r="C296" s="14" t="s">
        <v>307</v>
      </c>
      <c r="D296" s="23"/>
      <c r="E296" s="84">
        <v>10</v>
      </c>
      <c r="F296" s="23" t="s">
        <v>309</v>
      </c>
      <c r="G296" s="165">
        <v>350</v>
      </c>
      <c r="H296" s="165">
        <v>3500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56"/>
    </row>
    <row r="297" spans="1:22" x14ac:dyDescent="0.25">
      <c r="A297" s="25">
        <v>286</v>
      </c>
      <c r="B297" s="23"/>
      <c r="C297" s="14" t="s">
        <v>383</v>
      </c>
      <c r="D297" s="23"/>
      <c r="E297" s="84">
        <v>1</v>
      </c>
      <c r="F297" s="23" t="s">
        <v>262</v>
      </c>
      <c r="G297" s="165">
        <v>100</v>
      </c>
      <c r="H297" s="165">
        <v>100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56"/>
    </row>
    <row r="298" spans="1:22" x14ac:dyDescent="0.25">
      <c r="A298" s="25">
        <v>287</v>
      </c>
      <c r="B298" s="23"/>
      <c r="C298" s="14" t="s">
        <v>597</v>
      </c>
      <c r="D298" s="23"/>
      <c r="E298" s="84">
        <v>5</v>
      </c>
      <c r="F298" s="23" t="s">
        <v>152</v>
      </c>
      <c r="G298" s="165">
        <v>2500</v>
      </c>
      <c r="H298" s="165">
        <v>12500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56"/>
    </row>
    <row r="299" spans="1:22" x14ac:dyDescent="0.25">
      <c r="A299" s="25">
        <v>288</v>
      </c>
      <c r="B299" s="23"/>
      <c r="C299" s="14" t="s">
        <v>598</v>
      </c>
      <c r="D299" s="23"/>
      <c r="E299" s="84">
        <v>4</v>
      </c>
      <c r="F299" s="23" t="s">
        <v>37</v>
      </c>
      <c r="G299" s="165">
        <v>6000</v>
      </c>
      <c r="H299" s="165">
        <v>24000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56"/>
    </row>
    <row r="300" spans="1:22" x14ac:dyDescent="0.25">
      <c r="A300" s="25">
        <v>289</v>
      </c>
      <c r="B300" s="23"/>
      <c r="C300" s="14" t="s">
        <v>599</v>
      </c>
      <c r="D300" s="23"/>
      <c r="E300" s="84">
        <v>3</v>
      </c>
      <c r="F300" s="23" t="s">
        <v>407</v>
      </c>
      <c r="G300" s="165">
        <v>3000</v>
      </c>
      <c r="H300" s="165">
        <v>9000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56"/>
    </row>
    <row r="301" spans="1:22" x14ac:dyDescent="0.25">
      <c r="A301" s="25">
        <v>290</v>
      </c>
      <c r="B301" s="23"/>
      <c r="C301" s="14" t="s">
        <v>600</v>
      </c>
      <c r="D301" s="23"/>
      <c r="E301" s="84">
        <v>90</v>
      </c>
      <c r="F301" s="23" t="s">
        <v>37</v>
      </c>
      <c r="G301" s="165">
        <v>360</v>
      </c>
      <c r="H301" s="165">
        <v>32400</v>
      </c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56"/>
    </row>
    <row r="302" spans="1:22" x14ac:dyDescent="0.25">
      <c r="A302" s="25">
        <v>291</v>
      </c>
      <c r="B302" s="23"/>
      <c r="C302" s="14" t="s">
        <v>601</v>
      </c>
      <c r="D302" s="23"/>
      <c r="E302" s="84">
        <v>90</v>
      </c>
      <c r="F302" s="23" t="s">
        <v>37</v>
      </c>
      <c r="G302" s="165">
        <v>540</v>
      </c>
      <c r="H302" s="165">
        <v>48600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56"/>
    </row>
    <row r="303" spans="1:22" x14ac:dyDescent="0.25">
      <c r="A303" s="25">
        <v>292</v>
      </c>
      <c r="B303" s="23"/>
      <c r="C303" s="14" t="s">
        <v>602</v>
      </c>
      <c r="D303" s="23"/>
      <c r="E303" s="84">
        <v>90</v>
      </c>
      <c r="F303" s="23" t="s">
        <v>37</v>
      </c>
      <c r="G303" s="165">
        <v>360</v>
      </c>
      <c r="H303" s="165">
        <v>32400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56"/>
    </row>
    <row r="304" spans="1:22" x14ac:dyDescent="0.25">
      <c r="A304" s="25">
        <v>293</v>
      </c>
      <c r="B304" s="23"/>
      <c r="C304" s="14" t="s">
        <v>603</v>
      </c>
      <c r="D304" s="23"/>
      <c r="E304" s="84">
        <v>5</v>
      </c>
      <c r="F304" s="23" t="s">
        <v>37</v>
      </c>
      <c r="G304" s="165">
        <v>3900</v>
      </c>
      <c r="H304" s="165">
        <v>19500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56"/>
    </row>
    <row r="305" spans="1:22" x14ac:dyDescent="0.25">
      <c r="A305" s="25">
        <v>294</v>
      </c>
      <c r="B305" s="23"/>
      <c r="C305" s="14"/>
      <c r="D305" s="23"/>
      <c r="E305" s="84"/>
      <c r="F305" s="23"/>
      <c r="G305" s="165"/>
      <c r="H305" s="165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56"/>
    </row>
    <row r="306" spans="1:22" ht="30" x14ac:dyDescent="0.25">
      <c r="A306" s="25">
        <v>295</v>
      </c>
      <c r="B306" s="89" t="s">
        <v>61</v>
      </c>
      <c r="C306" s="90" t="s">
        <v>69</v>
      </c>
      <c r="D306" s="89" t="s">
        <v>27</v>
      </c>
      <c r="E306" s="89"/>
      <c r="F306" s="89"/>
      <c r="G306" s="163"/>
      <c r="H306" s="167">
        <v>1200000</v>
      </c>
      <c r="I306" s="89" t="s">
        <v>52</v>
      </c>
      <c r="J306" s="60"/>
      <c r="K306" s="60">
        <v>2</v>
      </c>
      <c r="L306" s="60"/>
      <c r="M306" s="60">
        <v>2</v>
      </c>
      <c r="N306" s="60"/>
      <c r="O306" s="60"/>
      <c r="P306" s="60"/>
      <c r="Q306" s="60"/>
      <c r="R306" s="60"/>
      <c r="S306" s="60">
        <v>1</v>
      </c>
      <c r="T306" s="60"/>
      <c r="U306" s="60"/>
      <c r="V306" s="56"/>
    </row>
    <row r="307" spans="1:22" x14ac:dyDescent="0.25">
      <c r="A307" s="25">
        <v>296</v>
      </c>
      <c r="B307" s="23"/>
      <c r="C307" s="14" t="s">
        <v>371</v>
      </c>
      <c r="D307" s="23"/>
      <c r="E307" s="84"/>
      <c r="F307" s="23"/>
      <c r="G307" s="165"/>
      <c r="H307" s="165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56"/>
    </row>
    <row r="308" spans="1:22" x14ac:dyDescent="0.25">
      <c r="A308" s="25">
        <v>297</v>
      </c>
      <c r="B308" s="23"/>
      <c r="C308" s="6" t="s">
        <v>372</v>
      </c>
      <c r="D308" s="23"/>
      <c r="E308" s="8">
        <f>120*5</f>
        <v>600</v>
      </c>
      <c r="F308" s="2" t="s">
        <v>37</v>
      </c>
      <c r="G308" s="18">
        <v>120</v>
      </c>
      <c r="H308" s="165">
        <f>E308*G308</f>
        <v>72000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56"/>
    </row>
    <row r="309" spans="1:22" x14ac:dyDescent="0.25">
      <c r="A309" s="25">
        <v>298</v>
      </c>
      <c r="B309" s="23"/>
      <c r="C309" s="11" t="s">
        <v>346</v>
      </c>
      <c r="D309" s="23"/>
      <c r="E309" s="8">
        <f t="shared" ref="E309:E310" si="10">120*5</f>
        <v>600</v>
      </c>
      <c r="F309" s="2" t="s">
        <v>37</v>
      </c>
      <c r="G309" s="18">
        <v>180</v>
      </c>
      <c r="H309" s="165">
        <f>E309*G309</f>
        <v>108000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56"/>
    </row>
    <row r="310" spans="1:22" x14ac:dyDescent="0.25">
      <c r="A310" s="25">
        <v>299</v>
      </c>
      <c r="B310" s="23"/>
      <c r="C310" s="11" t="s">
        <v>373</v>
      </c>
      <c r="D310" s="23"/>
      <c r="E310" s="8">
        <f t="shared" si="10"/>
        <v>600</v>
      </c>
      <c r="F310" s="2" t="s">
        <v>37</v>
      </c>
      <c r="G310" s="18">
        <v>120</v>
      </c>
      <c r="H310" s="165">
        <f>E310*G310</f>
        <v>72000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56"/>
    </row>
    <row r="311" spans="1:22" x14ac:dyDescent="0.25">
      <c r="A311" s="25">
        <v>300</v>
      </c>
      <c r="B311" s="23"/>
      <c r="C311" s="14" t="s">
        <v>70</v>
      </c>
      <c r="D311" s="23"/>
      <c r="E311" s="84"/>
      <c r="F311" s="23"/>
      <c r="G311" s="165"/>
      <c r="H311" s="165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56"/>
    </row>
    <row r="312" spans="1:22" x14ac:dyDescent="0.25">
      <c r="A312" s="25">
        <v>301</v>
      </c>
      <c r="B312" s="23"/>
      <c r="C312" s="14" t="s">
        <v>374</v>
      </c>
      <c r="D312" s="23"/>
      <c r="E312" s="8">
        <v>50</v>
      </c>
      <c r="F312" s="8" t="s">
        <v>152</v>
      </c>
      <c r="G312" s="169">
        <v>500</v>
      </c>
      <c r="H312" s="165">
        <f>E312*G312</f>
        <v>25000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56"/>
    </row>
    <row r="313" spans="1:22" x14ac:dyDescent="0.25">
      <c r="A313" s="25">
        <v>302</v>
      </c>
      <c r="B313" s="23"/>
      <c r="C313" s="14" t="s">
        <v>55</v>
      </c>
      <c r="D313" s="23"/>
      <c r="E313" s="84"/>
      <c r="F313" s="23"/>
      <c r="G313" s="165"/>
      <c r="H313" s="165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56"/>
    </row>
    <row r="314" spans="1:22" x14ac:dyDescent="0.25">
      <c r="A314" s="25">
        <v>303</v>
      </c>
      <c r="B314" s="23"/>
      <c r="C314" s="1" t="s">
        <v>375</v>
      </c>
      <c r="D314" s="23"/>
      <c r="E314" s="8">
        <v>12</v>
      </c>
      <c r="F314" s="8" t="s">
        <v>290</v>
      </c>
      <c r="G314" s="49">
        <v>350</v>
      </c>
      <c r="H314" s="165">
        <f>E314*G314</f>
        <v>4200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56"/>
    </row>
    <row r="315" spans="1:22" x14ac:dyDescent="0.25">
      <c r="A315" s="25">
        <v>304</v>
      </c>
      <c r="B315" s="23"/>
      <c r="C315" s="1" t="s">
        <v>376</v>
      </c>
      <c r="D315" s="23"/>
      <c r="E315" s="8">
        <v>12</v>
      </c>
      <c r="F315" s="8" t="s">
        <v>290</v>
      </c>
      <c r="G315" s="49">
        <v>410</v>
      </c>
      <c r="H315" s="165">
        <f t="shared" ref="H315:H327" si="11">E315*G315</f>
        <v>4920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56"/>
    </row>
    <row r="316" spans="1:22" x14ac:dyDescent="0.25">
      <c r="A316" s="25">
        <v>305</v>
      </c>
      <c r="B316" s="23"/>
      <c r="C316" s="1" t="s">
        <v>377</v>
      </c>
      <c r="D316" s="23"/>
      <c r="E316" s="8">
        <v>12</v>
      </c>
      <c r="F316" s="8" t="s">
        <v>152</v>
      </c>
      <c r="G316" s="49">
        <v>179</v>
      </c>
      <c r="H316" s="165">
        <f t="shared" si="11"/>
        <v>2148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56"/>
    </row>
    <row r="317" spans="1:22" x14ac:dyDescent="0.25">
      <c r="A317" s="25">
        <v>306</v>
      </c>
      <c r="B317" s="23"/>
      <c r="C317" s="1" t="s">
        <v>378</v>
      </c>
      <c r="D317" s="23"/>
      <c r="E317" s="8">
        <v>50</v>
      </c>
      <c r="F317" s="8" t="s">
        <v>152</v>
      </c>
      <c r="G317" s="49">
        <v>50</v>
      </c>
      <c r="H317" s="165">
        <f t="shared" si="11"/>
        <v>2500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56"/>
    </row>
    <row r="318" spans="1:22" x14ac:dyDescent="0.25">
      <c r="A318" s="25">
        <v>307</v>
      </c>
      <c r="B318" s="23"/>
      <c r="C318" s="1" t="s">
        <v>379</v>
      </c>
      <c r="D318" s="23"/>
      <c r="E318" s="8">
        <v>49</v>
      </c>
      <c r="F318" s="8" t="s">
        <v>152</v>
      </c>
      <c r="G318" s="49">
        <v>50</v>
      </c>
      <c r="H318" s="165">
        <f t="shared" si="11"/>
        <v>2450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56"/>
    </row>
    <row r="319" spans="1:22" x14ac:dyDescent="0.25">
      <c r="A319" s="25">
        <v>308</v>
      </c>
      <c r="B319" s="23"/>
      <c r="C319" s="1" t="s">
        <v>380</v>
      </c>
      <c r="D319" s="23"/>
      <c r="E319" s="8">
        <v>50</v>
      </c>
      <c r="F319" s="8" t="s">
        <v>152</v>
      </c>
      <c r="G319" s="49">
        <v>25</v>
      </c>
      <c r="H319" s="165">
        <f t="shared" si="11"/>
        <v>1250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56"/>
    </row>
    <row r="320" spans="1:22" x14ac:dyDescent="0.25">
      <c r="A320" s="25">
        <v>309</v>
      </c>
      <c r="B320" s="23"/>
      <c r="C320" s="1" t="s">
        <v>381</v>
      </c>
      <c r="D320" s="23"/>
      <c r="E320" s="8">
        <v>119</v>
      </c>
      <c r="F320" s="8" t="s">
        <v>152</v>
      </c>
      <c r="G320" s="49">
        <v>30</v>
      </c>
      <c r="H320" s="165">
        <f t="shared" si="11"/>
        <v>3570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56"/>
    </row>
    <row r="321" spans="1:22" x14ac:dyDescent="0.25">
      <c r="A321" s="25">
        <v>310</v>
      </c>
      <c r="B321" s="23"/>
      <c r="C321" s="1" t="s">
        <v>382</v>
      </c>
      <c r="D321" s="23"/>
      <c r="E321" s="8">
        <v>120</v>
      </c>
      <c r="F321" s="8" t="s">
        <v>152</v>
      </c>
      <c r="G321" s="49">
        <v>150</v>
      </c>
      <c r="H321" s="165">
        <f t="shared" si="11"/>
        <v>18000</v>
      </c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56"/>
    </row>
    <row r="322" spans="1:22" x14ac:dyDescent="0.25">
      <c r="A322" s="25">
        <v>311</v>
      </c>
      <c r="B322" s="23"/>
      <c r="C322" s="1" t="s">
        <v>383</v>
      </c>
      <c r="D322" s="23"/>
      <c r="E322" s="8">
        <v>119</v>
      </c>
      <c r="F322" s="8" t="s">
        <v>152</v>
      </c>
      <c r="G322" s="49">
        <v>12</v>
      </c>
      <c r="H322" s="165">
        <f t="shared" si="11"/>
        <v>1428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56"/>
    </row>
    <row r="323" spans="1:22" x14ac:dyDescent="0.25">
      <c r="A323" s="25">
        <v>312</v>
      </c>
      <c r="B323" s="23"/>
      <c r="C323" s="1" t="s">
        <v>384</v>
      </c>
      <c r="D323" s="23"/>
      <c r="E323" s="8">
        <v>15</v>
      </c>
      <c r="F323" s="8" t="s">
        <v>152</v>
      </c>
      <c r="G323" s="49">
        <v>55</v>
      </c>
      <c r="H323" s="165">
        <f t="shared" si="11"/>
        <v>825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56"/>
    </row>
    <row r="324" spans="1:22" x14ac:dyDescent="0.25">
      <c r="A324" s="25">
        <v>313</v>
      </c>
      <c r="B324" s="23"/>
      <c r="C324" s="1" t="s">
        <v>385</v>
      </c>
      <c r="D324" s="23"/>
      <c r="E324" s="8">
        <v>10</v>
      </c>
      <c r="F324" s="8" t="s">
        <v>152</v>
      </c>
      <c r="G324" s="49">
        <v>850</v>
      </c>
      <c r="H324" s="165">
        <f t="shared" si="11"/>
        <v>8500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56"/>
    </row>
    <row r="325" spans="1:22" x14ac:dyDescent="0.25">
      <c r="A325" s="25">
        <v>314</v>
      </c>
      <c r="B325" s="23"/>
      <c r="C325" s="1" t="s">
        <v>386</v>
      </c>
      <c r="D325" s="23"/>
      <c r="E325" s="8">
        <v>3</v>
      </c>
      <c r="F325" s="8" t="s">
        <v>152</v>
      </c>
      <c r="G325" s="49">
        <v>1500</v>
      </c>
      <c r="H325" s="165">
        <f t="shared" si="11"/>
        <v>4500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56"/>
    </row>
    <row r="326" spans="1:22" x14ac:dyDescent="0.25">
      <c r="A326" s="25">
        <v>315</v>
      </c>
      <c r="B326" s="23"/>
      <c r="C326" s="1" t="s">
        <v>387</v>
      </c>
      <c r="D326" s="23"/>
      <c r="E326" s="8">
        <v>25</v>
      </c>
      <c r="F326" s="8" t="s">
        <v>152</v>
      </c>
      <c r="G326" s="49">
        <v>15</v>
      </c>
      <c r="H326" s="165">
        <f t="shared" si="11"/>
        <v>375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56"/>
    </row>
    <row r="327" spans="1:22" x14ac:dyDescent="0.25">
      <c r="A327" s="25">
        <v>316</v>
      </c>
      <c r="B327" s="23"/>
      <c r="C327" s="1" t="s">
        <v>388</v>
      </c>
      <c r="D327" s="23"/>
      <c r="E327" s="8">
        <v>15</v>
      </c>
      <c r="F327" s="8" t="s">
        <v>152</v>
      </c>
      <c r="G327" s="49">
        <v>85</v>
      </c>
      <c r="H327" s="165">
        <f t="shared" si="11"/>
        <v>1275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56"/>
    </row>
    <row r="328" spans="1:22" x14ac:dyDescent="0.25">
      <c r="A328" s="25">
        <v>317</v>
      </c>
      <c r="B328" s="23"/>
      <c r="C328" s="14" t="s">
        <v>71</v>
      </c>
      <c r="D328" s="23"/>
      <c r="E328" s="84"/>
      <c r="F328" s="23"/>
      <c r="G328" s="165"/>
      <c r="H328" s="165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56"/>
    </row>
    <row r="329" spans="1:22" x14ac:dyDescent="0.25">
      <c r="A329" s="25">
        <v>318</v>
      </c>
      <c r="B329" s="23"/>
      <c r="C329" s="1" t="s">
        <v>389</v>
      </c>
      <c r="D329" s="23"/>
      <c r="E329" s="8">
        <v>50</v>
      </c>
      <c r="F329" s="8" t="s">
        <v>152</v>
      </c>
      <c r="G329" s="49">
        <v>15</v>
      </c>
      <c r="H329" s="165">
        <f>E329*G329</f>
        <v>750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56"/>
    </row>
    <row r="330" spans="1:22" x14ac:dyDescent="0.25">
      <c r="A330" s="25">
        <v>319</v>
      </c>
      <c r="B330" s="23"/>
      <c r="C330" s="1" t="s">
        <v>390</v>
      </c>
      <c r="D330" s="23"/>
      <c r="E330" s="8">
        <v>50</v>
      </c>
      <c r="F330" s="8" t="s">
        <v>152</v>
      </c>
      <c r="G330" s="49">
        <v>12</v>
      </c>
      <c r="H330" s="165">
        <f t="shared" ref="H330:H343" si="12">E330*G330</f>
        <v>600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56"/>
    </row>
    <row r="331" spans="1:22" x14ac:dyDescent="0.25">
      <c r="A331" s="25">
        <v>320</v>
      </c>
      <c r="B331" s="23"/>
      <c r="C331" s="1" t="s">
        <v>391</v>
      </c>
      <c r="D331" s="23"/>
      <c r="E331" s="8">
        <v>50</v>
      </c>
      <c r="F331" s="8" t="s">
        <v>152</v>
      </c>
      <c r="G331" s="49">
        <v>34</v>
      </c>
      <c r="H331" s="165">
        <f t="shared" si="12"/>
        <v>1700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56"/>
    </row>
    <row r="332" spans="1:22" x14ac:dyDescent="0.25">
      <c r="A332" s="25">
        <v>321</v>
      </c>
      <c r="B332" s="23"/>
      <c r="C332" s="1" t="s">
        <v>392</v>
      </c>
      <c r="D332" s="23"/>
      <c r="E332" s="8">
        <v>50</v>
      </c>
      <c r="F332" s="8" t="s">
        <v>152</v>
      </c>
      <c r="G332" s="49">
        <v>15</v>
      </c>
      <c r="H332" s="165">
        <f t="shared" si="12"/>
        <v>750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56"/>
    </row>
    <row r="333" spans="1:22" x14ac:dyDescent="0.25">
      <c r="A333" s="25">
        <v>322</v>
      </c>
      <c r="B333" s="23"/>
      <c r="C333" s="1" t="s">
        <v>393</v>
      </c>
      <c r="D333" s="23"/>
      <c r="E333" s="8">
        <v>15</v>
      </c>
      <c r="F333" s="23" t="s">
        <v>567</v>
      </c>
      <c r="G333" s="49">
        <v>100</v>
      </c>
      <c r="H333" s="165">
        <f t="shared" si="12"/>
        <v>1500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56"/>
    </row>
    <row r="334" spans="1:22" x14ac:dyDescent="0.25">
      <c r="A334" s="25">
        <v>323</v>
      </c>
      <c r="B334" s="23"/>
      <c r="C334" s="1" t="s">
        <v>353</v>
      </c>
      <c r="D334" s="23"/>
      <c r="E334" s="8">
        <v>6</v>
      </c>
      <c r="F334" s="8" t="s">
        <v>291</v>
      </c>
      <c r="G334" s="49">
        <v>75</v>
      </c>
      <c r="H334" s="165">
        <f t="shared" si="12"/>
        <v>450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56"/>
    </row>
    <row r="335" spans="1:22" x14ac:dyDescent="0.25">
      <c r="A335" s="25">
        <v>324</v>
      </c>
      <c r="B335" s="23"/>
      <c r="C335" s="1" t="s">
        <v>394</v>
      </c>
      <c r="D335" s="23"/>
      <c r="E335" s="8">
        <v>10</v>
      </c>
      <c r="F335" s="8" t="s">
        <v>152</v>
      </c>
      <c r="G335" s="49">
        <v>120</v>
      </c>
      <c r="H335" s="165">
        <f t="shared" si="12"/>
        <v>1200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56"/>
    </row>
    <row r="336" spans="1:22" x14ac:dyDescent="0.25">
      <c r="A336" s="25">
        <v>325</v>
      </c>
      <c r="B336" s="23"/>
      <c r="C336" s="1" t="s">
        <v>395</v>
      </c>
      <c r="D336" s="23"/>
      <c r="E336" s="8">
        <v>10</v>
      </c>
      <c r="F336" s="23" t="s">
        <v>309</v>
      </c>
      <c r="G336" s="49">
        <v>85</v>
      </c>
      <c r="H336" s="165">
        <f t="shared" si="12"/>
        <v>850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56"/>
    </row>
    <row r="337" spans="1:22" x14ac:dyDescent="0.25">
      <c r="A337" s="25">
        <v>326</v>
      </c>
      <c r="B337" s="23"/>
      <c r="C337" s="1" t="s">
        <v>396</v>
      </c>
      <c r="D337" s="23"/>
      <c r="E337" s="8">
        <v>10</v>
      </c>
      <c r="F337" s="23" t="s">
        <v>309</v>
      </c>
      <c r="G337" s="49">
        <v>90</v>
      </c>
      <c r="H337" s="165">
        <f t="shared" si="12"/>
        <v>900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56"/>
    </row>
    <row r="338" spans="1:22" x14ac:dyDescent="0.25">
      <c r="A338" s="25">
        <v>327</v>
      </c>
      <c r="B338" s="23"/>
      <c r="C338" s="1" t="s">
        <v>397</v>
      </c>
      <c r="D338" s="23"/>
      <c r="E338" s="8">
        <v>10</v>
      </c>
      <c r="F338" s="23" t="s">
        <v>309</v>
      </c>
      <c r="G338" s="49">
        <v>85</v>
      </c>
      <c r="H338" s="165">
        <f t="shared" si="12"/>
        <v>850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56"/>
    </row>
    <row r="339" spans="1:22" x14ac:dyDescent="0.25">
      <c r="A339" s="25">
        <v>328</v>
      </c>
      <c r="B339" s="23"/>
      <c r="C339" s="1" t="s">
        <v>398</v>
      </c>
      <c r="D339" s="23"/>
      <c r="E339" s="8">
        <v>10</v>
      </c>
      <c r="F339" s="23" t="s">
        <v>309</v>
      </c>
      <c r="G339" s="49">
        <v>90</v>
      </c>
      <c r="H339" s="165">
        <f t="shared" si="12"/>
        <v>900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56"/>
    </row>
    <row r="340" spans="1:22" x14ac:dyDescent="0.25">
      <c r="A340" s="25">
        <v>329</v>
      </c>
      <c r="B340" s="23"/>
      <c r="C340" s="1" t="s">
        <v>399</v>
      </c>
      <c r="D340" s="23"/>
      <c r="E340" s="8">
        <v>10</v>
      </c>
      <c r="F340" s="23" t="s">
        <v>309</v>
      </c>
      <c r="G340" s="49">
        <v>120</v>
      </c>
      <c r="H340" s="165">
        <f t="shared" si="12"/>
        <v>1200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56"/>
    </row>
    <row r="341" spans="1:22" x14ac:dyDescent="0.25">
      <c r="A341" s="25">
        <v>330</v>
      </c>
      <c r="B341" s="23"/>
      <c r="C341" s="1" t="s">
        <v>400</v>
      </c>
      <c r="D341" s="23"/>
      <c r="E341" s="8">
        <v>10</v>
      </c>
      <c r="F341" s="23" t="s">
        <v>309</v>
      </c>
      <c r="G341" s="49">
        <v>90</v>
      </c>
      <c r="H341" s="165">
        <f t="shared" si="12"/>
        <v>900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56"/>
    </row>
    <row r="342" spans="1:22" x14ac:dyDescent="0.25">
      <c r="A342" s="25">
        <v>331</v>
      </c>
      <c r="B342" s="23"/>
      <c r="C342" s="1" t="s">
        <v>401</v>
      </c>
      <c r="D342" s="23"/>
      <c r="E342" s="8">
        <v>10</v>
      </c>
      <c r="F342" s="23" t="s">
        <v>309</v>
      </c>
      <c r="G342" s="49">
        <v>85</v>
      </c>
      <c r="H342" s="165">
        <f t="shared" si="12"/>
        <v>850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56"/>
    </row>
    <row r="343" spans="1:22" x14ac:dyDescent="0.25">
      <c r="A343" s="25">
        <v>332</v>
      </c>
      <c r="B343" s="23"/>
      <c r="C343" s="1" t="s">
        <v>402</v>
      </c>
      <c r="D343" s="23"/>
      <c r="E343" s="8">
        <v>3</v>
      </c>
      <c r="F343" s="8" t="s">
        <v>152</v>
      </c>
      <c r="G343" s="49">
        <v>520</v>
      </c>
      <c r="H343" s="165">
        <f t="shared" si="12"/>
        <v>1560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56"/>
    </row>
    <row r="344" spans="1:22" x14ac:dyDescent="0.25">
      <c r="A344" s="25">
        <v>333</v>
      </c>
      <c r="B344" s="23"/>
      <c r="C344" s="14" t="s">
        <v>56</v>
      </c>
      <c r="D344" s="23"/>
      <c r="E344" s="84"/>
      <c r="F344" s="23"/>
      <c r="G344" s="165"/>
      <c r="H344" s="165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56"/>
    </row>
    <row r="345" spans="1:22" x14ac:dyDescent="0.25">
      <c r="A345" s="25">
        <v>334</v>
      </c>
      <c r="B345" s="23"/>
      <c r="C345" s="1" t="s">
        <v>403</v>
      </c>
      <c r="D345" s="23"/>
      <c r="E345" s="8">
        <v>1</v>
      </c>
      <c r="F345" s="8" t="s">
        <v>407</v>
      </c>
      <c r="G345" s="49">
        <v>5000</v>
      </c>
      <c r="H345" s="49">
        <f>E345*G345</f>
        <v>5000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56"/>
    </row>
    <row r="346" spans="1:22" x14ac:dyDescent="0.25">
      <c r="A346" s="25">
        <v>335</v>
      </c>
      <c r="B346" s="23"/>
      <c r="C346" s="1" t="s">
        <v>404</v>
      </c>
      <c r="D346" s="23"/>
      <c r="E346" s="8">
        <v>1</v>
      </c>
      <c r="F346" s="8" t="s">
        <v>407</v>
      </c>
      <c r="G346" s="49">
        <v>8500</v>
      </c>
      <c r="H346" s="49">
        <f>E346*G346</f>
        <v>8500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56"/>
    </row>
    <row r="347" spans="1:22" x14ac:dyDescent="0.25">
      <c r="A347" s="25">
        <v>336</v>
      </c>
      <c r="B347" s="23"/>
      <c r="C347" s="1" t="s">
        <v>405</v>
      </c>
      <c r="D347" s="23"/>
      <c r="E347" s="8">
        <v>1</v>
      </c>
      <c r="F347" s="8" t="s">
        <v>407</v>
      </c>
      <c r="G347" s="49">
        <v>12999</v>
      </c>
      <c r="H347" s="49">
        <f>E347*G347</f>
        <v>12999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56"/>
    </row>
    <row r="348" spans="1:22" x14ac:dyDescent="0.25">
      <c r="A348" s="25">
        <v>337</v>
      </c>
      <c r="B348" s="23"/>
      <c r="C348" s="1" t="s">
        <v>406</v>
      </c>
      <c r="D348" s="23"/>
      <c r="E348" s="8">
        <v>10</v>
      </c>
      <c r="F348" s="8" t="s">
        <v>128</v>
      </c>
      <c r="G348" s="49">
        <v>1560</v>
      </c>
      <c r="H348" s="49">
        <f>E348*G348</f>
        <v>15600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56"/>
    </row>
    <row r="349" spans="1:22" x14ac:dyDescent="0.25">
      <c r="A349" s="25">
        <v>338</v>
      </c>
      <c r="B349" s="23"/>
      <c r="C349" s="14" t="s">
        <v>67</v>
      </c>
      <c r="D349" s="23"/>
      <c r="E349" s="84"/>
      <c r="F349" s="23"/>
      <c r="G349" s="165"/>
      <c r="H349" s="165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56"/>
    </row>
    <row r="350" spans="1:22" x14ac:dyDescent="0.25">
      <c r="A350" s="25">
        <v>339</v>
      </c>
      <c r="B350" s="23"/>
      <c r="C350" s="11" t="s">
        <v>408</v>
      </c>
      <c r="D350" s="23"/>
      <c r="E350" s="2">
        <v>10</v>
      </c>
      <c r="F350" s="8" t="s">
        <v>407</v>
      </c>
      <c r="G350" s="127">
        <v>32000</v>
      </c>
      <c r="H350" s="170">
        <f>E350*G350</f>
        <v>320000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56"/>
    </row>
    <row r="351" spans="1:22" x14ac:dyDescent="0.25">
      <c r="A351" s="25">
        <v>340</v>
      </c>
      <c r="B351" s="23"/>
      <c r="C351" s="11" t="s">
        <v>409</v>
      </c>
      <c r="D351" s="23"/>
      <c r="E351" s="2">
        <v>10</v>
      </c>
      <c r="F351" s="8" t="s">
        <v>407</v>
      </c>
      <c r="G351" s="127">
        <v>49000</v>
      </c>
      <c r="H351" s="170">
        <f>E351*G351</f>
        <v>490000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56"/>
    </row>
    <row r="352" spans="1:22" x14ac:dyDescent="0.25">
      <c r="A352" s="25">
        <v>341</v>
      </c>
      <c r="B352" s="23"/>
      <c r="C352" s="14"/>
      <c r="D352" s="23"/>
      <c r="E352" s="84"/>
      <c r="F352" s="23"/>
      <c r="G352" s="165"/>
      <c r="H352" s="165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56"/>
    </row>
    <row r="353" spans="1:22" ht="30" x14ac:dyDescent="0.25">
      <c r="A353" s="25">
        <v>342</v>
      </c>
      <c r="B353" s="89" t="s">
        <v>61</v>
      </c>
      <c r="C353" s="90" t="s">
        <v>73</v>
      </c>
      <c r="D353" s="89" t="s">
        <v>27</v>
      </c>
      <c r="E353" s="89"/>
      <c r="F353" s="89"/>
      <c r="G353" s="163"/>
      <c r="H353" s="167">
        <v>462790</v>
      </c>
      <c r="I353" s="89" t="s">
        <v>52</v>
      </c>
      <c r="J353" s="60"/>
      <c r="K353" s="60"/>
      <c r="L353" s="60"/>
      <c r="M353" s="60">
        <v>2</v>
      </c>
      <c r="N353" s="60"/>
      <c r="O353" s="60"/>
      <c r="P353" s="60">
        <v>1</v>
      </c>
      <c r="Q353" s="60"/>
      <c r="R353" s="60"/>
      <c r="S353" s="60"/>
      <c r="T353" s="60"/>
      <c r="U353" s="60"/>
      <c r="V353" s="56"/>
    </row>
    <row r="354" spans="1:22" x14ac:dyDescent="0.25">
      <c r="A354" s="25">
        <v>343</v>
      </c>
      <c r="B354" s="23"/>
      <c r="C354" s="14" t="s">
        <v>479</v>
      </c>
      <c r="D354" s="23"/>
      <c r="E354" s="84">
        <v>8</v>
      </c>
      <c r="F354" s="23" t="s">
        <v>357</v>
      </c>
      <c r="G354" s="165">
        <v>230</v>
      </c>
      <c r="H354" s="165">
        <v>1840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56"/>
    </row>
    <row r="355" spans="1:22" x14ac:dyDescent="0.25">
      <c r="A355" s="25">
        <v>344</v>
      </c>
      <c r="B355" s="23"/>
      <c r="C355" s="14" t="s">
        <v>604</v>
      </c>
      <c r="D355" s="23"/>
      <c r="E355" s="84">
        <v>200</v>
      </c>
      <c r="F355" s="23" t="s">
        <v>37</v>
      </c>
      <c r="G355" s="165">
        <v>240</v>
      </c>
      <c r="H355" s="165">
        <v>48000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56"/>
    </row>
    <row r="356" spans="1:22" x14ac:dyDescent="0.25">
      <c r="A356" s="25">
        <v>345</v>
      </c>
      <c r="B356" s="23"/>
      <c r="C356" s="14" t="s">
        <v>480</v>
      </c>
      <c r="D356" s="23"/>
      <c r="E356" s="84">
        <v>5</v>
      </c>
      <c r="F356" s="23" t="s">
        <v>357</v>
      </c>
      <c r="G356" s="165">
        <v>190</v>
      </c>
      <c r="H356" s="165">
        <v>950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56"/>
    </row>
    <row r="357" spans="1:22" x14ac:dyDescent="0.25">
      <c r="A357" s="25">
        <v>346</v>
      </c>
      <c r="B357" s="23"/>
      <c r="C357" s="14" t="s">
        <v>481</v>
      </c>
      <c r="D357" s="23"/>
      <c r="E357" s="84">
        <v>2</v>
      </c>
      <c r="F357" s="8" t="s">
        <v>291</v>
      </c>
      <c r="G357" s="165">
        <v>400</v>
      </c>
      <c r="H357" s="165">
        <v>800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56"/>
    </row>
    <row r="358" spans="1:22" x14ac:dyDescent="0.25">
      <c r="A358" s="25">
        <v>347</v>
      </c>
      <c r="B358" s="23"/>
      <c r="C358" s="14" t="s">
        <v>482</v>
      </c>
      <c r="D358" s="23"/>
      <c r="E358" s="84">
        <v>2</v>
      </c>
      <c r="F358" s="8" t="s">
        <v>291</v>
      </c>
      <c r="G358" s="165">
        <v>400</v>
      </c>
      <c r="H358" s="165">
        <v>800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56"/>
    </row>
    <row r="359" spans="1:22" x14ac:dyDescent="0.25">
      <c r="A359" s="25">
        <v>348</v>
      </c>
      <c r="B359" s="23"/>
      <c r="C359" s="14" t="s">
        <v>483</v>
      </c>
      <c r="D359" s="23"/>
      <c r="E359" s="84">
        <v>2</v>
      </c>
      <c r="F359" s="8" t="s">
        <v>291</v>
      </c>
      <c r="G359" s="165">
        <v>400</v>
      </c>
      <c r="H359" s="165">
        <v>800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56"/>
    </row>
    <row r="360" spans="1:22" x14ac:dyDescent="0.25">
      <c r="A360" s="25">
        <v>349</v>
      </c>
      <c r="B360" s="23"/>
      <c r="C360" s="14" t="s">
        <v>484</v>
      </c>
      <c r="D360" s="23"/>
      <c r="E360" s="84">
        <v>2</v>
      </c>
      <c r="F360" s="8" t="s">
        <v>291</v>
      </c>
      <c r="G360" s="165">
        <v>400</v>
      </c>
      <c r="H360" s="165">
        <v>800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56"/>
    </row>
    <row r="361" spans="1:22" x14ac:dyDescent="0.25">
      <c r="A361" s="25">
        <v>350</v>
      </c>
      <c r="B361" s="23"/>
      <c r="C361" s="14" t="s">
        <v>485</v>
      </c>
      <c r="D361" s="23"/>
      <c r="E361" s="84">
        <v>12</v>
      </c>
      <c r="F361" s="23" t="s">
        <v>309</v>
      </c>
      <c r="G361" s="165">
        <v>100</v>
      </c>
      <c r="H361" s="165">
        <v>1200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56"/>
    </row>
    <row r="362" spans="1:22" x14ac:dyDescent="0.25">
      <c r="A362" s="25">
        <v>351</v>
      </c>
      <c r="B362" s="23"/>
      <c r="C362" s="14" t="s">
        <v>307</v>
      </c>
      <c r="D362" s="23"/>
      <c r="E362" s="84">
        <v>12</v>
      </c>
      <c r="F362" s="23" t="s">
        <v>309</v>
      </c>
      <c r="G362" s="165">
        <v>350</v>
      </c>
      <c r="H362" s="165">
        <v>4200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56"/>
    </row>
    <row r="363" spans="1:22" x14ac:dyDescent="0.25">
      <c r="A363" s="25">
        <v>352</v>
      </c>
      <c r="B363" s="23"/>
      <c r="C363" s="14" t="s">
        <v>605</v>
      </c>
      <c r="D363" s="23"/>
      <c r="E363" s="84">
        <v>400</v>
      </c>
      <c r="F363" s="23" t="s">
        <v>152</v>
      </c>
      <c r="G363" s="165">
        <v>100</v>
      </c>
      <c r="H363" s="165">
        <v>40000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56"/>
    </row>
    <row r="364" spans="1:22" x14ac:dyDescent="0.25">
      <c r="A364" s="25">
        <v>353</v>
      </c>
      <c r="B364" s="23"/>
      <c r="C364" s="14" t="s">
        <v>606</v>
      </c>
      <c r="D364" s="23"/>
      <c r="E364" s="84">
        <v>200</v>
      </c>
      <c r="F364" s="23" t="s">
        <v>37</v>
      </c>
      <c r="G364" s="165">
        <v>240</v>
      </c>
      <c r="H364" s="165">
        <v>48000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56"/>
    </row>
    <row r="365" spans="1:22" x14ac:dyDescent="0.25">
      <c r="A365" s="25">
        <v>354</v>
      </c>
      <c r="B365" s="23"/>
      <c r="C365" s="14" t="s">
        <v>607</v>
      </c>
      <c r="D365" s="23"/>
      <c r="E365" s="84">
        <v>200</v>
      </c>
      <c r="F365" s="23" t="s">
        <v>37</v>
      </c>
      <c r="G365" s="165">
        <v>360</v>
      </c>
      <c r="H365" s="165">
        <v>72000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56"/>
    </row>
    <row r="366" spans="1:22" x14ac:dyDescent="0.25">
      <c r="A366" s="25">
        <v>355</v>
      </c>
      <c r="B366" s="23"/>
      <c r="C366" s="14" t="s">
        <v>608</v>
      </c>
      <c r="D366" s="23"/>
      <c r="E366" s="84">
        <v>20</v>
      </c>
      <c r="F366" s="23" t="s">
        <v>37</v>
      </c>
      <c r="G366" s="165">
        <v>480</v>
      </c>
      <c r="H366" s="165">
        <v>9600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56"/>
    </row>
    <row r="367" spans="1:22" x14ac:dyDescent="0.25">
      <c r="A367" s="25">
        <v>356</v>
      </c>
      <c r="B367" s="23"/>
      <c r="C367" s="14" t="s">
        <v>609</v>
      </c>
      <c r="D367" s="23"/>
      <c r="E367" s="84">
        <v>4</v>
      </c>
      <c r="F367" s="23" t="s">
        <v>152</v>
      </c>
      <c r="G367" s="165">
        <v>1500</v>
      </c>
      <c r="H367" s="165">
        <v>6000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56"/>
    </row>
    <row r="368" spans="1:22" ht="42.75" x14ac:dyDescent="0.25">
      <c r="A368" s="25">
        <v>357</v>
      </c>
      <c r="B368" s="23"/>
      <c r="C368" s="14" t="s">
        <v>610</v>
      </c>
      <c r="D368" s="23"/>
      <c r="E368" s="84">
        <v>8</v>
      </c>
      <c r="F368" s="23" t="s">
        <v>37</v>
      </c>
      <c r="G368" s="165">
        <v>25000</v>
      </c>
      <c r="H368" s="165">
        <v>200000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56"/>
    </row>
    <row r="369" spans="1:22" x14ac:dyDescent="0.25">
      <c r="A369" s="25">
        <v>358</v>
      </c>
      <c r="B369" s="23"/>
      <c r="C369" s="14" t="s">
        <v>611</v>
      </c>
      <c r="D369" s="23"/>
      <c r="E369" s="84">
        <v>2</v>
      </c>
      <c r="F369" s="23" t="s">
        <v>612</v>
      </c>
      <c r="G369" s="165">
        <v>5000</v>
      </c>
      <c r="H369" s="165">
        <v>10000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56"/>
    </row>
    <row r="370" spans="1:22" x14ac:dyDescent="0.25">
      <c r="A370" s="25">
        <v>359</v>
      </c>
      <c r="B370" s="23"/>
      <c r="C370" s="14" t="s">
        <v>613</v>
      </c>
      <c r="D370" s="23"/>
      <c r="E370" s="84">
        <v>1</v>
      </c>
      <c r="F370" s="23" t="s">
        <v>145</v>
      </c>
      <c r="G370" s="165">
        <v>3500</v>
      </c>
      <c r="H370" s="165">
        <v>3500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56"/>
    </row>
    <row r="371" spans="1:22" x14ac:dyDescent="0.25">
      <c r="A371" s="25">
        <v>360</v>
      </c>
      <c r="B371" s="23"/>
      <c r="C371" s="14" t="s">
        <v>614</v>
      </c>
      <c r="D371" s="23"/>
      <c r="E371" s="84">
        <v>400</v>
      </c>
      <c r="F371" s="23" t="s">
        <v>152</v>
      </c>
      <c r="G371" s="165">
        <v>33</v>
      </c>
      <c r="H371" s="165">
        <v>13200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56"/>
    </row>
    <row r="372" spans="1:22" x14ac:dyDescent="0.25">
      <c r="A372" s="25">
        <v>361</v>
      </c>
      <c r="B372" s="23"/>
      <c r="C372" s="14" t="s">
        <v>383</v>
      </c>
      <c r="D372" s="23"/>
      <c r="E372" s="84">
        <v>10</v>
      </c>
      <c r="F372" s="23" t="s">
        <v>567</v>
      </c>
      <c r="G372" s="165">
        <v>110</v>
      </c>
      <c r="H372" s="165">
        <v>1100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56"/>
    </row>
    <row r="373" spans="1:22" x14ac:dyDescent="0.25">
      <c r="A373" s="25">
        <v>362</v>
      </c>
      <c r="B373" s="23"/>
      <c r="C373" s="14"/>
      <c r="D373" s="23"/>
      <c r="E373" s="84"/>
      <c r="F373" s="23"/>
      <c r="G373" s="165"/>
      <c r="H373" s="165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56"/>
    </row>
    <row r="374" spans="1:22" ht="30" x14ac:dyDescent="0.25">
      <c r="A374" s="25">
        <v>363</v>
      </c>
      <c r="B374" s="89" t="s">
        <v>61</v>
      </c>
      <c r="C374" s="90" t="s">
        <v>32</v>
      </c>
      <c r="D374" s="89" t="s">
        <v>27</v>
      </c>
      <c r="E374" s="89"/>
      <c r="F374" s="89"/>
      <c r="G374" s="163"/>
      <c r="H374" s="167">
        <v>191944</v>
      </c>
      <c r="I374" s="89" t="s">
        <v>52</v>
      </c>
      <c r="J374" s="60">
        <v>1</v>
      </c>
      <c r="K374" s="60"/>
      <c r="L374" s="60"/>
      <c r="M374" s="60"/>
      <c r="N374" s="60">
        <v>1</v>
      </c>
      <c r="O374" s="60"/>
      <c r="P374" s="60"/>
      <c r="Q374" s="60"/>
      <c r="R374" s="60"/>
      <c r="S374" s="60"/>
      <c r="T374" s="60"/>
      <c r="U374" s="60"/>
      <c r="V374" s="56"/>
    </row>
    <row r="375" spans="1:22" ht="28.5" x14ac:dyDescent="0.25">
      <c r="A375" s="25">
        <v>364</v>
      </c>
      <c r="B375" s="23"/>
      <c r="C375" s="14" t="s">
        <v>615</v>
      </c>
      <c r="D375" s="23"/>
      <c r="E375" s="84">
        <v>10</v>
      </c>
      <c r="F375" s="23" t="s">
        <v>37</v>
      </c>
      <c r="G375" s="165">
        <v>600</v>
      </c>
      <c r="H375" s="165">
        <v>6000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56"/>
    </row>
    <row r="376" spans="1:22" ht="28.5" x14ac:dyDescent="0.25">
      <c r="A376" s="25">
        <v>365</v>
      </c>
      <c r="B376" s="23"/>
      <c r="C376" s="14" t="s">
        <v>616</v>
      </c>
      <c r="D376" s="23"/>
      <c r="E376" s="84">
        <v>10</v>
      </c>
      <c r="F376" s="23" t="s">
        <v>37</v>
      </c>
      <c r="G376" s="165">
        <v>900</v>
      </c>
      <c r="H376" s="165">
        <v>9000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56"/>
    </row>
    <row r="377" spans="1:22" ht="28.5" x14ac:dyDescent="0.25">
      <c r="A377" s="25">
        <v>366</v>
      </c>
      <c r="B377" s="23"/>
      <c r="C377" s="14" t="s">
        <v>617</v>
      </c>
      <c r="D377" s="23"/>
      <c r="E377" s="84">
        <v>10</v>
      </c>
      <c r="F377" s="23" t="s">
        <v>37</v>
      </c>
      <c r="G377" s="165">
        <v>600</v>
      </c>
      <c r="H377" s="165">
        <v>6000</v>
      </c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56"/>
    </row>
    <row r="378" spans="1:22" ht="28.5" x14ac:dyDescent="0.25">
      <c r="A378" s="25">
        <v>367</v>
      </c>
      <c r="B378" s="23"/>
      <c r="C378" s="14" t="s">
        <v>618</v>
      </c>
      <c r="D378" s="23"/>
      <c r="E378" s="84">
        <v>26</v>
      </c>
      <c r="F378" s="23" t="s">
        <v>37</v>
      </c>
      <c r="G378" s="165">
        <v>600</v>
      </c>
      <c r="H378" s="165">
        <v>15600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56"/>
    </row>
    <row r="379" spans="1:22" ht="28.5" x14ac:dyDescent="0.25">
      <c r="A379" s="25">
        <v>368</v>
      </c>
      <c r="B379" s="23"/>
      <c r="C379" s="14" t="s">
        <v>619</v>
      </c>
      <c r="D379" s="23"/>
      <c r="E379" s="84">
        <v>26</v>
      </c>
      <c r="F379" s="23" t="s">
        <v>37</v>
      </c>
      <c r="G379" s="165">
        <v>900</v>
      </c>
      <c r="H379" s="165">
        <v>23400</v>
      </c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56"/>
    </row>
    <row r="380" spans="1:22" ht="28.5" x14ac:dyDescent="0.25">
      <c r="A380" s="25">
        <v>369</v>
      </c>
      <c r="B380" s="23"/>
      <c r="C380" s="14" t="s">
        <v>620</v>
      </c>
      <c r="D380" s="23"/>
      <c r="E380" s="84">
        <v>26</v>
      </c>
      <c r="F380" s="23" t="s">
        <v>37</v>
      </c>
      <c r="G380" s="165">
        <v>600</v>
      </c>
      <c r="H380" s="165">
        <v>15600</v>
      </c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56"/>
    </row>
    <row r="381" spans="1:22" ht="28.5" x14ac:dyDescent="0.25">
      <c r="A381" s="25">
        <v>370</v>
      </c>
      <c r="B381" s="23"/>
      <c r="C381" s="14" t="s">
        <v>621</v>
      </c>
      <c r="D381" s="23"/>
      <c r="E381" s="84">
        <v>6</v>
      </c>
      <c r="F381" s="23" t="s">
        <v>37</v>
      </c>
      <c r="G381" s="165">
        <v>750</v>
      </c>
      <c r="H381" s="165">
        <v>4500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56"/>
    </row>
    <row r="382" spans="1:22" x14ac:dyDescent="0.25">
      <c r="A382" s="25">
        <v>371</v>
      </c>
      <c r="B382" s="23"/>
      <c r="C382" s="14" t="s">
        <v>622</v>
      </c>
      <c r="D382" s="23"/>
      <c r="E382" s="84">
        <v>5</v>
      </c>
      <c r="F382" s="23" t="s">
        <v>623</v>
      </c>
      <c r="G382" s="165">
        <v>3000</v>
      </c>
      <c r="H382" s="165">
        <v>15000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56"/>
    </row>
    <row r="383" spans="1:22" ht="28.5" x14ac:dyDescent="0.25">
      <c r="A383" s="25">
        <v>372</v>
      </c>
      <c r="B383" s="23"/>
      <c r="C383" s="14" t="s">
        <v>624</v>
      </c>
      <c r="D383" s="23"/>
      <c r="E383" s="84">
        <v>4</v>
      </c>
      <c r="F383" s="23" t="s">
        <v>37</v>
      </c>
      <c r="G383" s="165">
        <v>6000</v>
      </c>
      <c r="H383" s="165">
        <v>24000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56"/>
    </row>
    <row r="384" spans="1:22" x14ac:dyDescent="0.25">
      <c r="A384" s="25">
        <v>373</v>
      </c>
      <c r="B384" s="23"/>
      <c r="C384" s="14" t="s">
        <v>551</v>
      </c>
      <c r="D384" s="23"/>
      <c r="E384" s="84">
        <v>4</v>
      </c>
      <c r="F384" s="23" t="s">
        <v>37</v>
      </c>
      <c r="G384" s="165">
        <v>2500</v>
      </c>
      <c r="H384" s="165">
        <v>10000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56"/>
    </row>
    <row r="385" spans="1:22" ht="28.5" x14ac:dyDescent="0.25">
      <c r="A385" s="25">
        <v>374</v>
      </c>
      <c r="B385" s="23"/>
      <c r="C385" s="14" t="s">
        <v>553</v>
      </c>
      <c r="D385" s="23"/>
      <c r="E385" s="84">
        <v>4</v>
      </c>
      <c r="F385" s="23" t="s">
        <v>37</v>
      </c>
      <c r="G385" s="165">
        <v>250</v>
      </c>
      <c r="H385" s="165">
        <v>1000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56"/>
    </row>
    <row r="386" spans="1:22" x14ac:dyDescent="0.25">
      <c r="A386" s="25">
        <v>375</v>
      </c>
      <c r="B386" s="23"/>
      <c r="C386" s="14" t="s">
        <v>587</v>
      </c>
      <c r="D386" s="23"/>
      <c r="E386" s="84">
        <v>20</v>
      </c>
      <c r="F386" s="23" t="s">
        <v>152</v>
      </c>
      <c r="G386" s="165">
        <v>50</v>
      </c>
      <c r="H386" s="165">
        <v>1000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56"/>
    </row>
    <row r="387" spans="1:22" x14ac:dyDescent="0.25">
      <c r="A387" s="25">
        <v>376</v>
      </c>
      <c r="B387" s="23"/>
      <c r="C387" s="14" t="s">
        <v>625</v>
      </c>
      <c r="D387" s="23"/>
      <c r="E387" s="84">
        <v>20</v>
      </c>
      <c r="F387" s="23" t="s">
        <v>152</v>
      </c>
      <c r="G387" s="165">
        <v>25</v>
      </c>
      <c r="H387" s="165">
        <v>500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56"/>
    </row>
    <row r="388" spans="1:22" x14ac:dyDescent="0.25">
      <c r="A388" s="25">
        <v>377</v>
      </c>
      <c r="B388" s="23"/>
      <c r="C388" s="14" t="s">
        <v>562</v>
      </c>
      <c r="D388" s="23"/>
      <c r="E388" s="84">
        <v>20</v>
      </c>
      <c r="F388" s="23" t="s">
        <v>152</v>
      </c>
      <c r="G388" s="165">
        <v>55</v>
      </c>
      <c r="H388" s="165">
        <v>1100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56"/>
    </row>
    <row r="389" spans="1:22" x14ac:dyDescent="0.25">
      <c r="A389" s="25">
        <v>378</v>
      </c>
      <c r="B389" s="23"/>
      <c r="C389" s="14" t="s">
        <v>563</v>
      </c>
      <c r="D389" s="23"/>
      <c r="E389" s="84">
        <v>20</v>
      </c>
      <c r="F389" s="23" t="s">
        <v>152</v>
      </c>
      <c r="G389" s="165">
        <v>35</v>
      </c>
      <c r="H389" s="165">
        <v>700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56"/>
    </row>
    <row r="390" spans="1:22" x14ac:dyDescent="0.25">
      <c r="A390" s="25">
        <v>379</v>
      </c>
      <c r="B390" s="23"/>
      <c r="C390" s="14" t="s">
        <v>626</v>
      </c>
      <c r="D390" s="23"/>
      <c r="E390" s="84">
        <v>20</v>
      </c>
      <c r="F390" s="23" t="s">
        <v>152</v>
      </c>
      <c r="G390" s="165">
        <v>45</v>
      </c>
      <c r="H390" s="165">
        <v>900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56"/>
    </row>
    <row r="391" spans="1:22" x14ac:dyDescent="0.25">
      <c r="A391" s="25">
        <v>380</v>
      </c>
      <c r="B391" s="23"/>
      <c r="C391" s="14" t="s">
        <v>627</v>
      </c>
      <c r="D391" s="23"/>
      <c r="E391" s="84">
        <v>2</v>
      </c>
      <c r="F391" s="23" t="s">
        <v>152</v>
      </c>
      <c r="G391" s="165">
        <v>850</v>
      </c>
      <c r="H391" s="165">
        <v>1700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56"/>
    </row>
    <row r="392" spans="1:22" x14ac:dyDescent="0.25">
      <c r="A392" s="25">
        <v>381</v>
      </c>
      <c r="B392" s="23"/>
      <c r="C392" s="14" t="s">
        <v>564</v>
      </c>
      <c r="D392" s="23"/>
      <c r="E392" s="84">
        <v>4</v>
      </c>
      <c r="F392" s="23" t="s">
        <v>309</v>
      </c>
      <c r="G392" s="165">
        <v>150</v>
      </c>
      <c r="H392" s="165">
        <v>600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56"/>
    </row>
    <row r="393" spans="1:22" x14ac:dyDescent="0.25">
      <c r="A393" s="25">
        <v>382</v>
      </c>
      <c r="B393" s="23"/>
      <c r="C393" s="14" t="s">
        <v>566</v>
      </c>
      <c r="D393" s="23"/>
      <c r="E393" s="84">
        <v>3</v>
      </c>
      <c r="F393" s="23" t="s">
        <v>567</v>
      </c>
      <c r="G393" s="165">
        <v>1375</v>
      </c>
      <c r="H393" s="165">
        <v>4125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56"/>
    </row>
    <row r="394" spans="1:22" x14ac:dyDescent="0.25">
      <c r="A394" s="25">
        <v>383</v>
      </c>
      <c r="B394" s="23"/>
      <c r="C394" s="14" t="s">
        <v>568</v>
      </c>
      <c r="D394" s="23"/>
      <c r="E394" s="84">
        <v>1</v>
      </c>
      <c r="F394" s="23" t="s">
        <v>262</v>
      </c>
      <c r="G394" s="165">
        <v>1475</v>
      </c>
      <c r="H394" s="165">
        <v>1475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56"/>
    </row>
    <row r="395" spans="1:22" x14ac:dyDescent="0.25">
      <c r="A395" s="25">
        <v>384</v>
      </c>
      <c r="B395" s="23"/>
      <c r="C395" s="14" t="s">
        <v>570</v>
      </c>
      <c r="D395" s="23"/>
      <c r="E395" s="84">
        <v>2</v>
      </c>
      <c r="F395" s="23" t="s">
        <v>571</v>
      </c>
      <c r="G395" s="165">
        <v>1600</v>
      </c>
      <c r="H395" s="165">
        <v>3200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56"/>
    </row>
    <row r="396" spans="1:22" x14ac:dyDescent="0.25">
      <c r="A396" s="25">
        <v>385</v>
      </c>
      <c r="B396" s="23"/>
      <c r="C396" s="14" t="s">
        <v>572</v>
      </c>
      <c r="D396" s="23"/>
      <c r="E396" s="84">
        <v>3</v>
      </c>
      <c r="F396" s="23" t="s">
        <v>152</v>
      </c>
      <c r="G396" s="165">
        <v>285</v>
      </c>
      <c r="H396" s="165">
        <v>855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56"/>
    </row>
    <row r="397" spans="1:22" x14ac:dyDescent="0.25">
      <c r="A397" s="25">
        <v>386</v>
      </c>
      <c r="B397" s="23"/>
      <c r="C397" s="14" t="s">
        <v>573</v>
      </c>
      <c r="D397" s="23"/>
      <c r="E397" s="84">
        <v>1</v>
      </c>
      <c r="F397" s="23" t="s">
        <v>181</v>
      </c>
      <c r="G397" s="165">
        <v>650</v>
      </c>
      <c r="H397" s="165">
        <v>650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56"/>
    </row>
    <row r="398" spans="1:22" x14ac:dyDescent="0.25">
      <c r="A398" s="25">
        <v>387</v>
      </c>
      <c r="B398" s="23"/>
      <c r="C398" s="14" t="s">
        <v>577</v>
      </c>
      <c r="D398" s="23"/>
      <c r="E398" s="84">
        <v>1</v>
      </c>
      <c r="F398" s="23" t="s">
        <v>145</v>
      </c>
      <c r="G398" s="165">
        <v>435</v>
      </c>
      <c r="H398" s="165">
        <v>435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56"/>
    </row>
    <row r="399" spans="1:22" x14ac:dyDescent="0.25">
      <c r="A399" s="25">
        <v>388</v>
      </c>
      <c r="B399" s="23"/>
      <c r="C399" s="14" t="s">
        <v>628</v>
      </c>
      <c r="D399" s="23"/>
      <c r="E399" s="84">
        <v>2</v>
      </c>
      <c r="F399" s="23" t="s">
        <v>152</v>
      </c>
      <c r="G399" s="165">
        <v>750</v>
      </c>
      <c r="H399" s="165">
        <v>1500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56"/>
    </row>
    <row r="400" spans="1:22" x14ac:dyDescent="0.25">
      <c r="A400" s="25">
        <v>389</v>
      </c>
      <c r="B400" s="23"/>
      <c r="C400" s="14" t="s">
        <v>393</v>
      </c>
      <c r="D400" s="23"/>
      <c r="E400" s="84">
        <v>4</v>
      </c>
      <c r="F400" s="23" t="s">
        <v>567</v>
      </c>
      <c r="G400" s="165">
        <v>110</v>
      </c>
      <c r="H400" s="165">
        <v>440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56"/>
    </row>
    <row r="401" spans="1:22" x14ac:dyDescent="0.25">
      <c r="A401" s="25">
        <v>390</v>
      </c>
      <c r="B401" s="23"/>
      <c r="C401" s="14" t="s">
        <v>570</v>
      </c>
      <c r="D401" s="23"/>
      <c r="E401" s="84">
        <v>1</v>
      </c>
      <c r="F401" s="23" t="s">
        <v>128</v>
      </c>
      <c r="G401" s="165">
        <v>1600</v>
      </c>
      <c r="H401" s="165">
        <v>1600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56"/>
    </row>
    <row r="402" spans="1:22" x14ac:dyDescent="0.25">
      <c r="A402" s="25">
        <v>391</v>
      </c>
      <c r="B402" s="23"/>
      <c r="C402" s="14" t="s">
        <v>629</v>
      </c>
      <c r="D402" s="23"/>
      <c r="E402" s="84">
        <v>1</v>
      </c>
      <c r="F402" s="23" t="s">
        <v>145</v>
      </c>
      <c r="G402" s="165">
        <v>10299</v>
      </c>
      <c r="H402" s="165">
        <v>10299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56"/>
    </row>
    <row r="403" spans="1:22" x14ac:dyDescent="0.25">
      <c r="A403" s="25">
        <v>392</v>
      </c>
      <c r="B403" s="23"/>
      <c r="C403" s="14" t="s">
        <v>630</v>
      </c>
      <c r="D403" s="23"/>
      <c r="E403" s="84">
        <v>1</v>
      </c>
      <c r="F403" s="23" t="s">
        <v>145</v>
      </c>
      <c r="G403" s="165">
        <v>3500</v>
      </c>
      <c r="H403" s="165">
        <v>3500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56"/>
    </row>
    <row r="404" spans="1:22" ht="28.5" x14ac:dyDescent="0.25">
      <c r="A404" s="25">
        <v>393</v>
      </c>
      <c r="B404" s="23"/>
      <c r="C404" s="14" t="s">
        <v>631</v>
      </c>
      <c r="D404" s="23"/>
      <c r="E404" s="84">
        <v>1</v>
      </c>
      <c r="F404" s="23" t="s">
        <v>145</v>
      </c>
      <c r="G404" s="165">
        <v>7429</v>
      </c>
      <c r="H404" s="165">
        <v>7429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56"/>
    </row>
    <row r="405" spans="1:22" ht="28.5" x14ac:dyDescent="0.25">
      <c r="A405" s="25">
        <v>394</v>
      </c>
      <c r="B405" s="23"/>
      <c r="C405" s="14" t="s">
        <v>632</v>
      </c>
      <c r="D405" s="23"/>
      <c r="E405" s="84">
        <v>1</v>
      </c>
      <c r="F405" s="23" t="s">
        <v>145</v>
      </c>
      <c r="G405" s="165">
        <v>6270</v>
      </c>
      <c r="H405" s="165">
        <v>6270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56"/>
    </row>
    <row r="406" spans="1:22" ht="42.75" x14ac:dyDescent="0.25">
      <c r="A406" s="25">
        <v>395</v>
      </c>
      <c r="B406" s="23"/>
      <c r="C406" s="14" t="s">
        <v>633</v>
      </c>
      <c r="D406" s="23"/>
      <c r="E406" s="84">
        <v>10</v>
      </c>
      <c r="F406" s="23" t="s">
        <v>152</v>
      </c>
      <c r="G406" s="165">
        <v>550</v>
      </c>
      <c r="H406" s="165">
        <v>5500</v>
      </c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56"/>
    </row>
    <row r="407" spans="1:22" x14ac:dyDescent="0.25">
      <c r="A407" s="25">
        <v>396</v>
      </c>
      <c r="B407" s="23"/>
      <c r="C407" s="14" t="s">
        <v>504</v>
      </c>
      <c r="D407" s="23"/>
      <c r="E407" s="84">
        <v>5</v>
      </c>
      <c r="F407" s="23" t="s">
        <v>567</v>
      </c>
      <c r="G407" s="165">
        <v>250</v>
      </c>
      <c r="H407" s="165">
        <v>1250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56"/>
    </row>
    <row r="408" spans="1:22" x14ac:dyDescent="0.25">
      <c r="A408" s="25">
        <v>397</v>
      </c>
      <c r="B408" s="23"/>
      <c r="C408" s="14" t="s">
        <v>580</v>
      </c>
      <c r="D408" s="23"/>
      <c r="E408" s="84">
        <v>5</v>
      </c>
      <c r="F408" s="23" t="s">
        <v>581</v>
      </c>
      <c r="G408" s="165">
        <v>70</v>
      </c>
      <c r="H408" s="165">
        <v>350</v>
      </c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56"/>
    </row>
    <row r="409" spans="1:22" x14ac:dyDescent="0.25">
      <c r="A409" s="25">
        <v>398</v>
      </c>
      <c r="B409" s="23"/>
      <c r="C409" s="14" t="s">
        <v>582</v>
      </c>
      <c r="D409" s="23"/>
      <c r="E409" s="84">
        <v>3</v>
      </c>
      <c r="F409" s="23" t="s">
        <v>309</v>
      </c>
      <c r="G409" s="165">
        <v>300</v>
      </c>
      <c r="H409" s="165">
        <v>900</v>
      </c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56"/>
    </row>
    <row r="410" spans="1:22" x14ac:dyDescent="0.25">
      <c r="A410" s="25">
        <v>399</v>
      </c>
      <c r="B410" s="23"/>
      <c r="C410" s="14" t="s">
        <v>595</v>
      </c>
      <c r="D410" s="23"/>
      <c r="E410" s="84">
        <v>10</v>
      </c>
      <c r="F410" s="23" t="s">
        <v>309</v>
      </c>
      <c r="G410" s="165">
        <v>160</v>
      </c>
      <c r="H410" s="165">
        <v>1600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56"/>
    </row>
    <row r="411" spans="1:22" x14ac:dyDescent="0.25">
      <c r="A411" s="25">
        <v>400</v>
      </c>
      <c r="B411" s="23"/>
      <c r="C411" s="14" t="s">
        <v>583</v>
      </c>
      <c r="D411" s="23"/>
      <c r="E411" s="84">
        <v>10</v>
      </c>
      <c r="F411" s="23" t="s">
        <v>309</v>
      </c>
      <c r="G411" s="165">
        <v>160</v>
      </c>
      <c r="H411" s="165">
        <v>1600</v>
      </c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56"/>
    </row>
    <row r="412" spans="1:22" x14ac:dyDescent="0.25">
      <c r="A412" s="25">
        <v>401</v>
      </c>
      <c r="B412" s="23"/>
      <c r="C412" s="14" t="s">
        <v>584</v>
      </c>
      <c r="D412" s="23"/>
      <c r="E412" s="84">
        <v>4</v>
      </c>
      <c r="F412" s="23" t="s">
        <v>309</v>
      </c>
      <c r="G412" s="165">
        <v>116</v>
      </c>
      <c r="H412" s="165">
        <v>464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56"/>
    </row>
    <row r="413" spans="1:22" x14ac:dyDescent="0.25">
      <c r="A413" s="25">
        <v>402</v>
      </c>
      <c r="B413" s="23"/>
      <c r="C413" s="14" t="s">
        <v>585</v>
      </c>
      <c r="D413" s="23"/>
      <c r="E413" s="84">
        <v>5</v>
      </c>
      <c r="F413" s="23" t="s">
        <v>152</v>
      </c>
      <c r="G413" s="165">
        <v>210</v>
      </c>
      <c r="H413" s="165">
        <v>1050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56"/>
    </row>
    <row r="414" spans="1:22" x14ac:dyDescent="0.25">
      <c r="A414" s="25">
        <v>403</v>
      </c>
      <c r="B414" s="23"/>
      <c r="C414" s="14" t="s">
        <v>586</v>
      </c>
      <c r="D414" s="23"/>
      <c r="E414" s="84">
        <v>10</v>
      </c>
      <c r="F414" s="23" t="s">
        <v>152</v>
      </c>
      <c r="G414" s="165">
        <v>55</v>
      </c>
      <c r="H414" s="165">
        <v>550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56"/>
    </row>
    <row r="415" spans="1:22" x14ac:dyDescent="0.25">
      <c r="A415" s="25">
        <v>404</v>
      </c>
      <c r="B415" s="23"/>
      <c r="C415" s="14" t="s">
        <v>383</v>
      </c>
      <c r="D415" s="23"/>
      <c r="E415" s="84">
        <v>2</v>
      </c>
      <c r="F415" s="23" t="s">
        <v>567</v>
      </c>
      <c r="G415" s="165">
        <v>151</v>
      </c>
      <c r="H415" s="165">
        <v>302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56"/>
    </row>
    <row r="416" spans="1:22" x14ac:dyDescent="0.25">
      <c r="A416" s="25">
        <v>405</v>
      </c>
      <c r="B416" s="23"/>
      <c r="C416" s="14"/>
      <c r="D416" s="23"/>
      <c r="E416" s="84"/>
      <c r="F416" s="23"/>
      <c r="G416" s="165"/>
      <c r="H416" s="165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56"/>
    </row>
    <row r="417" spans="1:22" ht="30" x14ac:dyDescent="0.25">
      <c r="A417" s="25">
        <v>406</v>
      </c>
      <c r="B417" s="89" t="s">
        <v>61</v>
      </c>
      <c r="C417" s="90" t="s">
        <v>74</v>
      </c>
      <c r="D417" s="89" t="s">
        <v>27</v>
      </c>
      <c r="E417" s="89"/>
      <c r="F417" s="89"/>
      <c r="G417" s="163"/>
      <c r="H417" s="167">
        <v>760199.5</v>
      </c>
      <c r="I417" s="89" t="s">
        <v>52</v>
      </c>
      <c r="J417" s="60"/>
      <c r="K417" s="60"/>
      <c r="L417" s="60"/>
      <c r="M417" s="60">
        <v>2</v>
      </c>
      <c r="N417" s="60"/>
      <c r="O417" s="60"/>
      <c r="P417" s="60">
        <v>1</v>
      </c>
      <c r="Q417" s="60"/>
      <c r="R417" s="60"/>
      <c r="S417" s="60"/>
      <c r="T417" s="60">
        <v>1</v>
      </c>
      <c r="U417" s="60"/>
      <c r="V417" s="56"/>
    </row>
    <row r="418" spans="1:22" x14ac:dyDescent="0.25">
      <c r="A418" s="25">
        <v>407</v>
      </c>
      <c r="B418" s="23"/>
      <c r="C418" s="14" t="s">
        <v>55</v>
      </c>
      <c r="D418" s="23"/>
      <c r="E418" s="84"/>
      <c r="F418" s="23"/>
      <c r="G418" s="165"/>
      <c r="H418" s="165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56"/>
    </row>
    <row r="419" spans="1:22" x14ac:dyDescent="0.25">
      <c r="A419" s="25">
        <v>408</v>
      </c>
      <c r="B419" s="23"/>
      <c r="C419" s="19" t="s">
        <v>410</v>
      </c>
      <c r="D419" s="23"/>
      <c r="E419" s="20">
        <v>950</v>
      </c>
      <c r="F419" s="20" t="s">
        <v>37</v>
      </c>
      <c r="G419" s="171">
        <v>13</v>
      </c>
      <c r="H419" s="165">
        <f>E419*G419</f>
        <v>12350</v>
      </c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56"/>
    </row>
    <row r="420" spans="1:22" x14ac:dyDescent="0.25">
      <c r="A420" s="25">
        <v>409</v>
      </c>
      <c r="B420" s="23"/>
      <c r="C420" s="19" t="s">
        <v>278</v>
      </c>
      <c r="D420" s="23"/>
      <c r="E420" s="20">
        <v>950</v>
      </c>
      <c r="F420" s="20" t="s">
        <v>37</v>
      </c>
      <c r="G420" s="171">
        <v>20</v>
      </c>
      <c r="H420" s="165">
        <f t="shared" ref="H420:H430" si="13">E420*G420</f>
        <v>19000</v>
      </c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56"/>
    </row>
    <row r="421" spans="1:22" x14ac:dyDescent="0.25">
      <c r="A421" s="25">
        <v>410</v>
      </c>
      <c r="B421" s="23"/>
      <c r="C421" s="19" t="s">
        <v>383</v>
      </c>
      <c r="D421" s="23"/>
      <c r="E421" s="20">
        <v>950</v>
      </c>
      <c r="F421" s="20" t="s">
        <v>37</v>
      </c>
      <c r="G421" s="171">
        <v>30</v>
      </c>
      <c r="H421" s="165">
        <f t="shared" si="13"/>
        <v>28500</v>
      </c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56"/>
    </row>
    <row r="422" spans="1:22" x14ac:dyDescent="0.25">
      <c r="A422" s="25">
        <v>411</v>
      </c>
      <c r="B422" s="23"/>
      <c r="C422" s="19" t="s">
        <v>411</v>
      </c>
      <c r="D422" s="23"/>
      <c r="E422" s="20">
        <v>950</v>
      </c>
      <c r="F422" s="20" t="s">
        <v>37</v>
      </c>
      <c r="G422" s="171">
        <v>100</v>
      </c>
      <c r="H422" s="165">
        <f t="shared" si="13"/>
        <v>95000</v>
      </c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56"/>
    </row>
    <row r="423" spans="1:22" x14ac:dyDescent="0.25">
      <c r="A423" s="25">
        <v>412</v>
      </c>
      <c r="B423" s="23"/>
      <c r="C423" s="19" t="s">
        <v>412</v>
      </c>
      <c r="D423" s="23"/>
      <c r="E423" s="20">
        <v>950</v>
      </c>
      <c r="F423" s="20" t="s">
        <v>37</v>
      </c>
      <c r="G423" s="171">
        <v>12</v>
      </c>
      <c r="H423" s="165">
        <f t="shared" si="13"/>
        <v>11400</v>
      </c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56"/>
    </row>
    <row r="424" spans="1:22" x14ac:dyDescent="0.25">
      <c r="A424" s="25">
        <v>413</v>
      </c>
      <c r="B424" s="23"/>
      <c r="C424" s="19" t="s">
        <v>375</v>
      </c>
      <c r="D424" s="23"/>
      <c r="E424" s="20">
        <v>950</v>
      </c>
      <c r="F424" s="20" t="s">
        <v>37</v>
      </c>
      <c r="G424" s="171">
        <v>20</v>
      </c>
      <c r="H424" s="165">
        <f t="shared" si="13"/>
        <v>19000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56"/>
    </row>
    <row r="425" spans="1:22" x14ac:dyDescent="0.25">
      <c r="A425" s="25">
        <v>414</v>
      </c>
      <c r="B425" s="23"/>
      <c r="C425" s="19" t="s">
        <v>413</v>
      </c>
      <c r="D425" s="23"/>
      <c r="E425" s="20">
        <v>950</v>
      </c>
      <c r="F425" s="20" t="s">
        <v>37</v>
      </c>
      <c r="G425" s="171">
        <v>40</v>
      </c>
      <c r="H425" s="165">
        <f t="shared" si="13"/>
        <v>38000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56"/>
    </row>
    <row r="426" spans="1:22" x14ac:dyDescent="0.25">
      <c r="A426" s="25">
        <v>415</v>
      </c>
      <c r="B426" s="23"/>
      <c r="C426" s="19" t="s">
        <v>414</v>
      </c>
      <c r="D426" s="23"/>
      <c r="E426" s="20">
        <v>950</v>
      </c>
      <c r="F426" s="20" t="s">
        <v>37</v>
      </c>
      <c r="G426" s="171">
        <v>40</v>
      </c>
      <c r="H426" s="165">
        <f t="shared" si="13"/>
        <v>38000</v>
      </c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56"/>
    </row>
    <row r="427" spans="1:22" x14ac:dyDescent="0.25">
      <c r="A427" s="25">
        <v>416</v>
      </c>
      <c r="B427" s="23"/>
      <c r="C427" s="19" t="s">
        <v>415</v>
      </c>
      <c r="D427" s="23"/>
      <c r="E427" s="20">
        <v>950</v>
      </c>
      <c r="F427" s="20" t="s">
        <v>37</v>
      </c>
      <c r="G427" s="171">
        <v>40.21</v>
      </c>
      <c r="H427" s="165">
        <f t="shared" si="13"/>
        <v>38199.5</v>
      </c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56"/>
    </row>
    <row r="428" spans="1:22" x14ac:dyDescent="0.25">
      <c r="A428" s="25">
        <v>417</v>
      </c>
      <c r="B428" s="23"/>
      <c r="C428" s="19" t="s">
        <v>416</v>
      </c>
      <c r="D428" s="23"/>
      <c r="E428" s="20">
        <v>950</v>
      </c>
      <c r="F428" s="20" t="s">
        <v>37</v>
      </c>
      <c r="G428" s="171">
        <v>50</v>
      </c>
      <c r="H428" s="165">
        <f t="shared" si="13"/>
        <v>47500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56"/>
    </row>
    <row r="429" spans="1:22" x14ac:dyDescent="0.25">
      <c r="A429" s="25">
        <v>418</v>
      </c>
      <c r="B429" s="23"/>
      <c r="C429" s="19" t="s">
        <v>260</v>
      </c>
      <c r="D429" s="23"/>
      <c r="E429" s="20">
        <v>950</v>
      </c>
      <c r="F429" s="20" t="s">
        <v>37</v>
      </c>
      <c r="G429" s="171">
        <v>35</v>
      </c>
      <c r="H429" s="165">
        <f t="shared" si="13"/>
        <v>33250</v>
      </c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56"/>
    </row>
    <row r="430" spans="1:22" x14ac:dyDescent="0.25">
      <c r="A430" s="25">
        <v>419</v>
      </c>
      <c r="B430" s="23"/>
      <c r="C430" s="65" t="s">
        <v>417</v>
      </c>
      <c r="D430" s="23"/>
      <c r="E430" s="20">
        <v>950</v>
      </c>
      <c r="F430" s="20" t="s">
        <v>37</v>
      </c>
      <c r="G430" s="171">
        <v>30</v>
      </c>
      <c r="H430" s="165">
        <f t="shared" si="13"/>
        <v>28500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56"/>
    </row>
    <row r="431" spans="1:22" x14ac:dyDescent="0.25">
      <c r="A431" s="25">
        <v>420</v>
      </c>
      <c r="B431" s="23"/>
      <c r="C431" s="14" t="s">
        <v>71</v>
      </c>
      <c r="D431" s="23"/>
      <c r="E431" s="84"/>
      <c r="F431" s="23"/>
      <c r="G431" s="165"/>
      <c r="H431" s="165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56"/>
    </row>
    <row r="432" spans="1:22" x14ac:dyDescent="0.25">
      <c r="A432" s="25">
        <v>421</v>
      </c>
      <c r="B432" s="23"/>
      <c r="C432" s="19" t="s">
        <v>418</v>
      </c>
      <c r="D432" s="23"/>
      <c r="E432" s="20">
        <v>950</v>
      </c>
      <c r="F432" s="20" t="s">
        <v>37</v>
      </c>
      <c r="G432" s="171">
        <v>80</v>
      </c>
      <c r="H432" s="165">
        <f>E432*G432</f>
        <v>76000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56"/>
    </row>
    <row r="433" spans="1:22" x14ac:dyDescent="0.25">
      <c r="A433" s="25">
        <v>422</v>
      </c>
      <c r="B433" s="23"/>
      <c r="C433" s="19" t="s">
        <v>419</v>
      </c>
      <c r="D433" s="23"/>
      <c r="E433" s="20">
        <v>950</v>
      </c>
      <c r="F433" s="20" t="s">
        <v>37</v>
      </c>
      <c r="G433" s="171">
        <v>85</v>
      </c>
      <c r="H433" s="165">
        <f>E433*G433</f>
        <v>80750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56"/>
    </row>
    <row r="434" spans="1:22" x14ac:dyDescent="0.25">
      <c r="A434" s="25">
        <v>423</v>
      </c>
      <c r="B434" s="23"/>
      <c r="C434" s="19" t="s">
        <v>420</v>
      </c>
      <c r="D434" s="23"/>
      <c r="E434" s="20">
        <v>950</v>
      </c>
      <c r="F434" s="20" t="s">
        <v>37</v>
      </c>
      <c r="G434" s="171">
        <v>30</v>
      </c>
      <c r="H434" s="165">
        <f>E434*G434</f>
        <v>28500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56"/>
    </row>
    <row r="435" spans="1:22" x14ac:dyDescent="0.25">
      <c r="A435" s="25">
        <v>424</v>
      </c>
      <c r="B435" s="23"/>
      <c r="C435" s="19" t="s">
        <v>421</v>
      </c>
      <c r="D435" s="23"/>
      <c r="E435" s="20">
        <v>950</v>
      </c>
      <c r="F435" s="20" t="s">
        <v>37</v>
      </c>
      <c r="G435" s="171">
        <v>60</v>
      </c>
      <c r="H435" s="165">
        <f>E435*G435</f>
        <v>57000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56"/>
    </row>
    <row r="436" spans="1:22" x14ac:dyDescent="0.25">
      <c r="A436" s="25">
        <v>425</v>
      </c>
      <c r="B436" s="23"/>
      <c r="C436" s="14" t="s">
        <v>75</v>
      </c>
      <c r="D436" s="23"/>
      <c r="E436" s="84"/>
      <c r="F436" s="23"/>
      <c r="G436" s="165"/>
      <c r="H436" s="165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56"/>
    </row>
    <row r="437" spans="1:22" ht="15.75" customHeight="1" x14ac:dyDescent="0.25">
      <c r="A437" s="25">
        <v>426</v>
      </c>
      <c r="B437" s="23"/>
      <c r="C437" s="19" t="s">
        <v>422</v>
      </c>
      <c r="D437" s="23"/>
      <c r="E437" s="20">
        <v>950</v>
      </c>
      <c r="F437" s="20" t="s">
        <v>37</v>
      </c>
      <c r="G437" s="171">
        <v>115</v>
      </c>
      <c r="H437" s="171">
        <f>E437*G437</f>
        <v>109250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56"/>
    </row>
    <row r="438" spans="1:22" x14ac:dyDescent="0.25">
      <c r="A438" s="25">
        <v>427</v>
      </c>
      <c r="B438" s="23"/>
      <c r="C438" s="14"/>
      <c r="D438" s="23"/>
      <c r="E438" s="84"/>
      <c r="F438" s="23"/>
      <c r="G438" s="165"/>
      <c r="H438" s="165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56"/>
    </row>
    <row r="439" spans="1:22" ht="30" x14ac:dyDescent="0.25">
      <c r="A439" s="25">
        <v>428</v>
      </c>
      <c r="B439" s="89" t="s">
        <v>61</v>
      </c>
      <c r="C439" s="90" t="s">
        <v>76</v>
      </c>
      <c r="D439" s="89" t="s">
        <v>27</v>
      </c>
      <c r="E439" s="89"/>
      <c r="F439" s="89"/>
      <c r="G439" s="163"/>
      <c r="H439" s="167">
        <v>119400</v>
      </c>
      <c r="I439" s="89" t="s">
        <v>52</v>
      </c>
      <c r="J439" s="60"/>
      <c r="K439" s="60"/>
      <c r="L439" s="60"/>
      <c r="M439" s="60">
        <v>1</v>
      </c>
      <c r="N439" s="60"/>
      <c r="O439" s="60"/>
      <c r="P439" s="60"/>
      <c r="Q439" s="60"/>
      <c r="R439" s="60">
        <v>1</v>
      </c>
      <c r="S439" s="60"/>
      <c r="T439" s="60"/>
      <c r="U439" s="60"/>
      <c r="V439" s="56"/>
    </row>
    <row r="440" spans="1:22" x14ac:dyDescent="0.25">
      <c r="A440" s="25">
        <v>429</v>
      </c>
      <c r="B440" s="23"/>
      <c r="C440" s="14" t="s">
        <v>55</v>
      </c>
      <c r="D440" s="23"/>
      <c r="E440" s="84"/>
      <c r="F440" s="23"/>
      <c r="G440" s="165"/>
      <c r="H440" s="165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56"/>
    </row>
    <row r="441" spans="1:22" x14ac:dyDescent="0.25">
      <c r="A441" s="25">
        <v>430</v>
      </c>
      <c r="B441" s="23"/>
      <c r="C441" s="39" t="s">
        <v>423</v>
      </c>
      <c r="D441" s="23"/>
      <c r="E441" s="36">
        <v>6</v>
      </c>
      <c r="F441" s="36" t="s">
        <v>567</v>
      </c>
      <c r="G441" s="95">
        <v>2250</v>
      </c>
      <c r="H441" s="35">
        <f t="shared" ref="H441:H447" si="14">G441*E441</f>
        <v>13500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56"/>
    </row>
    <row r="442" spans="1:22" x14ac:dyDescent="0.25">
      <c r="A442" s="25">
        <v>431</v>
      </c>
      <c r="B442" s="23"/>
      <c r="C442" s="39" t="s">
        <v>277</v>
      </c>
      <c r="D442" s="23"/>
      <c r="E442" s="36">
        <v>20</v>
      </c>
      <c r="F442" s="23" t="s">
        <v>309</v>
      </c>
      <c r="G442" s="95">
        <v>105</v>
      </c>
      <c r="H442" s="35">
        <f t="shared" si="14"/>
        <v>2100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56"/>
    </row>
    <row r="443" spans="1:22" x14ac:dyDescent="0.25">
      <c r="A443" s="25">
        <v>432</v>
      </c>
      <c r="B443" s="23"/>
      <c r="C443" s="39" t="s">
        <v>424</v>
      </c>
      <c r="D443" s="23"/>
      <c r="E443" s="36">
        <v>30</v>
      </c>
      <c r="F443" s="23" t="s">
        <v>309</v>
      </c>
      <c r="G443" s="95">
        <v>85</v>
      </c>
      <c r="H443" s="35">
        <f t="shared" si="14"/>
        <v>2550</v>
      </c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56"/>
    </row>
    <row r="444" spans="1:22" x14ac:dyDescent="0.25">
      <c r="A444" s="25">
        <v>433</v>
      </c>
      <c r="B444" s="23"/>
      <c r="C444" s="39" t="s">
        <v>425</v>
      </c>
      <c r="D444" s="23"/>
      <c r="E444" s="36">
        <v>20</v>
      </c>
      <c r="F444" s="36" t="s">
        <v>567</v>
      </c>
      <c r="G444" s="95">
        <v>195</v>
      </c>
      <c r="H444" s="35">
        <f t="shared" si="14"/>
        <v>3900</v>
      </c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56"/>
    </row>
    <row r="445" spans="1:22" x14ac:dyDescent="0.25">
      <c r="A445" s="25">
        <v>434</v>
      </c>
      <c r="B445" s="23"/>
      <c r="C445" s="39" t="s">
        <v>426</v>
      </c>
      <c r="D445" s="23"/>
      <c r="E445" s="36">
        <v>3</v>
      </c>
      <c r="F445" s="36" t="s">
        <v>152</v>
      </c>
      <c r="G445" s="95">
        <v>1145</v>
      </c>
      <c r="H445" s="35">
        <f t="shared" si="14"/>
        <v>3435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56"/>
    </row>
    <row r="446" spans="1:22" x14ac:dyDescent="0.25">
      <c r="A446" s="25">
        <v>435</v>
      </c>
      <c r="B446" s="23"/>
      <c r="C446" s="39" t="s">
        <v>278</v>
      </c>
      <c r="D446" s="23"/>
      <c r="E446" s="36">
        <v>20</v>
      </c>
      <c r="F446" s="36" t="s">
        <v>567</v>
      </c>
      <c r="G446" s="95">
        <v>470</v>
      </c>
      <c r="H446" s="35">
        <f t="shared" si="14"/>
        <v>9400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56"/>
    </row>
    <row r="447" spans="1:22" x14ac:dyDescent="0.25">
      <c r="A447" s="25">
        <v>436</v>
      </c>
      <c r="B447" s="23"/>
      <c r="C447" s="39" t="s">
        <v>279</v>
      </c>
      <c r="D447" s="23"/>
      <c r="E447" s="36">
        <v>90</v>
      </c>
      <c r="F447" s="36" t="s">
        <v>152</v>
      </c>
      <c r="G447" s="95">
        <v>20</v>
      </c>
      <c r="H447" s="35">
        <f t="shared" si="14"/>
        <v>1800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56"/>
    </row>
    <row r="448" spans="1:22" x14ac:dyDescent="0.25">
      <c r="A448" s="25">
        <v>437</v>
      </c>
      <c r="B448" s="23"/>
      <c r="C448" s="14" t="s">
        <v>56</v>
      </c>
      <c r="D448" s="23"/>
      <c r="E448" s="84"/>
      <c r="F448" s="23"/>
      <c r="G448" s="165"/>
      <c r="H448" s="165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56"/>
    </row>
    <row r="449" spans="1:22" x14ac:dyDescent="0.25">
      <c r="A449" s="25">
        <v>438</v>
      </c>
      <c r="B449" s="23"/>
      <c r="C449" s="39" t="s">
        <v>296</v>
      </c>
      <c r="D449" s="23"/>
      <c r="E449" s="36">
        <v>20</v>
      </c>
      <c r="F449" s="8" t="s">
        <v>291</v>
      </c>
      <c r="G449" s="95">
        <v>345</v>
      </c>
      <c r="H449" s="35">
        <f>G449*E449</f>
        <v>6900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56"/>
    </row>
    <row r="450" spans="1:22" x14ac:dyDescent="0.25">
      <c r="A450" s="25">
        <v>439</v>
      </c>
      <c r="B450" s="23"/>
      <c r="C450" s="39" t="s">
        <v>427</v>
      </c>
      <c r="D450" s="23"/>
      <c r="E450" s="36">
        <v>2</v>
      </c>
      <c r="F450" s="36" t="s">
        <v>152</v>
      </c>
      <c r="G450" s="95">
        <v>685</v>
      </c>
      <c r="H450" s="35">
        <f>G450*E450</f>
        <v>1370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56"/>
    </row>
    <row r="451" spans="1:22" x14ac:dyDescent="0.25">
      <c r="A451" s="25">
        <v>440</v>
      </c>
      <c r="B451" s="23"/>
      <c r="C451" s="39" t="s">
        <v>428</v>
      </c>
      <c r="D451" s="23"/>
      <c r="E451" s="36">
        <v>2</v>
      </c>
      <c r="F451" s="36" t="s">
        <v>152</v>
      </c>
      <c r="G451" s="95">
        <v>4880</v>
      </c>
      <c r="H451" s="35">
        <f>G451*E451</f>
        <v>9760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56"/>
    </row>
    <row r="452" spans="1:22" x14ac:dyDescent="0.25">
      <c r="A452" s="25">
        <v>441</v>
      </c>
      <c r="B452" s="23"/>
      <c r="C452" s="14" t="s">
        <v>54</v>
      </c>
      <c r="D452" s="23"/>
      <c r="E452" s="84"/>
      <c r="F452" s="23"/>
      <c r="G452" s="165"/>
      <c r="H452" s="165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56"/>
    </row>
    <row r="453" spans="1:22" x14ac:dyDescent="0.25">
      <c r="A453" s="25">
        <v>442</v>
      </c>
      <c r="B453" s="23"/>
      <c r="C453" s="14" t="s">
        <v>246</v>
      </c>
      <c r="D453" s="23"/>
      <c r="E453" s="23">
        <f>50*4</f>
        <v>200</v>
      </c>
      <c r="F453" s="23" t="s">
        <v>37</v>
      </c>
      <c r="G453" s="218">
        <v>120</v>
      </c>
      <c r="H453" s="101">
        <f>G453*E453</f>
        <v>24000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56"/>
    </row>
    <row r="454" spans="1:22" x14ac:dyDescent="0.25">
      <c r="A454" s="25">
        <v>443</v>
      </c>
      <c r="B454" s="23"/>
      <c r="C454" s="14" t="s">
        <v>247</v>
      </c>
      <c r="D454" s="23"/>
      <c r="E454" s="23">
        <f>50*4</f>
        <v>200</v>
      </c>
      <c r="F454" s="23" t="s">
        <v>37</v>
      </c>
      <c r="G454" s="218">
        <v>180</v>
      </c>
      <c r="H454" s="101">
        <f>G454*E454</f>
        <v>36000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56"/>
    </row>
    <row r="455" spans="1:22" x14ac:dyDescent="0.25">
      <c r="A455" s="25">
        <v>444</v>
      </c>
      <c r="B455" s="23"/>
      <c r="C455" s="14" t="s">
        <v>71</v>
      </c>
      <c r="D455" s="23"/>
      <c r="E455" s="84">
        <v>1</v>
      </c>
      <c r="F455" s="23"/>
      <c r="G455" s="165"/>
      <c r="H455" s="165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56"/>
    </row>
    <row r="456" spans="1:22" x14ac:dyDescent="0.25">
      <c r="A456" s="25">
        <v>445</v>
      </c>
      <c r="B456" s="23"/>
      <c r="C456" s="39" t="s">
        <v>429</v>
      </c>
      <c r="D456" s="23"/>
      <c r="E456" s="36">
        <v>6</v>
      </c>
      <c r="F456" s="23" t="s">
        <v>309</v>
      </c>
      <c r="G456" s="102">
        <v>165</v>
      </c>
      <c r="H456" s="102">
        <f>G456*E456</f>
        <v>990</v>
      </c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56"/>
    </row>
    <row r="457" spans="1:22" x14ac:dyDescent="0.25">
      <c r="A457" s="25">
        <v>446</v>
      </c>
      <c r="B457" s="23"/>
      <c r="C457" s="39" t="s">
        <v>430</v>
      </c>
      <c r="D457" s="23"/>
      <c r="E457" s="36">
        <v>3</v>
      </c>
      <c r="F457" s="23" t="s">
        <v>309</v>
      </c>
      <c r="G457" s="102">
        <v>75</v>
      </c>
      <c r="H457" s="102">
        <f t="shared" ref="H457:H462" si="15">G457*E457</f>
        <v>225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56"/>
    </row>
    <row r="458" spans="1:22" x14ac:dyDescent="0.25">
      <c r="A458" s="25">
        <v>447</v>
      </c>
      <c r="B458" s="23"/>
      <c r="C458" s="39" t="s">
        <v>431</v>
      </c>
      <c r="D458" s="23"/>
      <c r="E458" s="36">
        <v>1</v>
      </c>
      <c r="F458" s="23" t="s">
        <v>181</v>
      </c>
      <c r="G458" s="152">
        <v>65</v>
      </c>
      <c r="H458" s="102">
        <f t="shared" si="15"/>
        <v>65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56"/>
    </row>
    <row r="459" spans="1:22" x14ac:dyDescent="0.25">
      <c r="A459" s="25">
        <v>448</v>
      </c>
      <c r="B459" s="23"/>
      <c r="C459" s="39" t="s">
        <v>432</v>
      </c>
      <c r="D459" s="23"/>
      <c r="E459" s="36">
        <v>10</v>
      </c>
      <c r="F459" s="23" t="s">
        <v>309</v>
      </c>
      <c r="G459" s="152">
        <v>175</v>
      </c>
      <c r="H459" s="102">
        <f t="shared" si="15"/>
        <v>1750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56"/>
    </row>
    <row r="460" spans="1:22" x14ac:dyDescent="0.25">
      <c r="A460" s="25">
        <v>449</v>
      </c>
      <c r="B460" s="23"/>
      <c r="C460" s="39" t="s">
        <v>433</v>
      </c>
      <c r="D460" s="23"/>
      <c r="E460" s="36">
        <v>4</v>
      </c>
      <c r="F460" s="23" t="s">
        <v>309</v>
      </c>
      <c r="G460" s="152">
        <v>110</v>
      </c>
      <c r="H460" s="102">
        <f t="shared" si="15"/>
        <v>440</v>
      </c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56"/>
    </row>
    <row r="461" spans="1:22" x14ac:dyDescent="0.25">
      <c r="A461" s="25">
        <v>450</v>
      </c>
      <c r="B461" s="23"/>
      <c r="C461" s="39" t="s">
        <v>393</v>
      </c>
      <c r="D461" s="23"/>
      <c r="E461" s="36">
        <v>6</v>
      </c>
      <c r="F461" s="23" t="s">
        <v>567</v>
      </c>
      <c r="G461" s="152">
        <v>145</v>
      </c>
      <c r="H461" s="102">
        <f t="shared" si="15"/>
        <v>870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56"/>
    </row>
    <row r="462" spans="1:22" x14ac:dyDescent="0.25">
      <c r="A462" s="25">
        <v>451</v>
      </c>
      <c r="B462" s="23"/>
      <c r="C462" s="39" t="s">
        <v>353</v>
      </c>
      <c r="D462" s="23"/>
      <c r="E462" s="36">
        <v>3</v>
      </c>
      <c r="F462" s="8" t="s">
        <v>291</v>
      </c>
      <c r="G462" s="152">
        <v>115</v>
      </c>
      <c r="H462" s="102">
        <f t="shared" si="15"/>
        <v>345</v>
      </c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56"/>
    </row>
    <row r="463" spans="1:22" x14ac:dyDescent="0.25">
      <c r="A463" s="25">
        <v>452</v>
      </c>
      <c r="B463" s="23"/>
      <c r="C463" s="14"/>
      <c r="D463" s="23"/>
      <c r="E463" s="84"/>
      <c r="F463" s="23"/>
      <c r="G463" s="165"/>
      <c r="H463" s="165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56"/>
    </row>
    <row r="464" spans="1:22" ht="45" x14ac:dyDescent="0.25">
      <c r="A464" s="25">
        <v>453</v>
      </c>
      <c r="B464" s="89" t="s">
        <v>61</v>
      </c>
      <c r="C464" s="90" t="s">
        <v>45</v>
      </c>
      <c r="D464" s="89" t="s">
        <v>27</v>
      </c>
      <c r="E464" s="89"/>
      <c r="F464" s="89"/>
      <c r="G464" s="163"/>
      <c r="H464" s="167">
        <v>1504940</v>
      </c>
      <c r="I464" s="89" t="s">
        <v>52</v>
      </c>
      <c r="J464" s="60"/>
      <c r="K464" s="60"/>
      <c r="L464" s="60"/>
      <c r="M464" s="60">
        <v>1</v>
      </c>
      <c r="N464" s="60"/>
      <c r="O464" s="60">
        <v>1</v>
      </c>
      <c r="P464" s="60">
        <v>2</v>
      </c>
      <c r="Q464" s="60"/>
      <c r="R464" s="60"/>
      <c r="S464" s="60">
        <v>1</v>
      </c>
      <c r="T464" s="60"/>
      <c r="U464" s="60"/>
      <c r="V464" s="56"/>
    </row>
    <row r="465" spans="1:22" x14ac:dyDescent="0.25">
      <c r="A465" s="25">
        <v>454</v>
      </c>
      <c r="B465" s="23"/>
      <c r="C465" s="14" t="s">
        <v>77</v>
      </c>
      <c r="D465" s="23"/>
      <c r="E465" s="84"/>
      <c r="F465" s="23"/>
      <c r="G465" s="165"/>
      <c r="H465" s="165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56"/>
    </row>
    <row r="466" spans="1:22" x14ac:dyDescent="0.25">
      <c r="A466" s="25">
        <v>455</v>
      </c>
      <c r="B466" s="23"/>
      <c r="C466" s="1" t="s">
        <v>434</v>
      </c>
      <c r="D466" s="23"/>
      <c r="E466" s="36">
        <v>250</v>
      </c>
      <c r="F466" s="36" t="s">
        <v>435</v>
      </c>
      <c r="G466" s="102">
        <v>1200</v>
      </c>
      <c r="H466" s="102">
        <f>G466*E466</f>
        <v>300000</v>
      </c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56"/>
    </row>
    <row r="467" spans="1:22" x14ac:dyDescent="0.25">
      <c r="A467" s="25">
        <v>456</v>
      </c>
      <c r="B467" s="23"/>
      <c r="C467" s="14" t="s">
        <v>55</v>
      </c>
      <c r="D467" s="23"/>
      <c r="E467" s="84"/>
      <c r="F467" s="23"/>
      <c r="G467" s="165"/>
      <c r="H467" s="165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56"/>
    </row>
    <row r="468" spans="1:22" x14ac:dyDescent="0.25">
      <c r="A468" s="25">
        <v>457</v>
      </c>
      <c r="B468" s="23"/>
      <c r="C468" s="1" t="s">
        <v>254</v>
      </c>
      <c r="D468" s="23"/>
      <c r="E468" s="8">
        <v>60</v>
      </c>
      <c r="F468" s="23" t="s">
        <v>309</v>
      </c>
      <c r="G468" s="103">
        <v>105</v>
      </c>
      <c r="H468" s="165">
        <f>E468*G468</f>
        <v>6300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56"/>
    </row>
    <row r="469" spans="1:22" x14ac:dyDescent="0.25">
      <c r="A469" s="25">
        <v>458</v>
      </c>
      <c r="B469" s="23"/>
      <c r="C469" s="1" t="s">
        <v>287</v>
      </c>
      <c r="D469" s="23"/>
      <c r="E469" s="8">
        <v>80</v>
      </c>
      <c r="F469" s="8" t="s">
        <v>152</v>
      </c>
      <c r="G469" s="103">
        <v>25</v>
      </c>
      <c r="H469" s="165">
        <f t="shared" ref="H469:H483" si="16">E469*G469</f>
        <v>2000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56"/>
    </row>
    <row r="470" spans="1:22" x14ac:dyDescent="0.25">
      <c r="A470" s="25">
        <v>459</v>
      </c>
      <c r="B470" s="23"/>
      <c r="C470" s="1" t="s">
        <v>276</v>
      </c>
      <c r="D470" s="23"/>
      <c r="E470" s="8">
        <v>60</v>
      </c>
      <c r="F470" s="8" t="s">
        <v>152</v>
      </c>
      <c r="G470" s="103">
        <v>95</v>
      </c>
      <c r="H470" s="165">
        <f t="shared" si="16"/>
        <v>5700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56"/>
    </row>
    <row r="471" spans="1:22" x14ac:dyDescent="0.25">
      <c r="A471" s="25">
        <v>460</v>
      </c>
      <c r="B471" s="23"/>
      <c r="C471" s="1" t="s">
        <v>436</v>
      </c>
      <c r="D471" s="23"/>
      <c r="E471" s="8">
        <v>30</v>
      </c>
      <c r="F471" s="23" t="s">
        <v>309</v>
      </c>
      <c r="G471" s="103">
        <v>280</v>
      </c>
      <c r="H471" s="165">
        <f t="shared" si="16"/>
        <v>8400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56"/>
    </row>
    <row r="472" spans="1:22" x14ac:dyDescent="0.25">
      <c r="A472" s="25">
        <v>461</v>
      </c>
      <c r="B472" s="23"/>
      <c r="C472" s="1" t="s">
        <v>437</v>
      </c>
      <c r="D472" s="23"/>
      <c r="E472" s="8">
        <v>160</v>
      </c>
      <c r="F472" s="8" t="s">
        <v>152</v>
      </c>
      <c r="G472" s="103">
        <v>115</v>
      </c>
      <c r="H472" s="165">
        <f t="shared" si="16"/>
        <v>18400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56"/>
    </row>
    <row r="473" spans="1:22" x14ac:dyDescent="0.25">
      <c r="A473" s="25">
        <v>462</v>
      </c>
      <c r="B473" s="23"/>
      <c r="C473" s="1" t="s">
        <v>438</v>
      </c>
      <c r="D473" s="23"/>
      <c r="E473" s="8">
        <v>15</v>
      </c>
      <c r="F473" s="8" t="s">
        <v>447</v>
      </c>
      <c r="G473" s="103">
        <v>68</v>
      </c>
      <c r="H473" s="165">
        <f t="shared" si="16"/>
        <v>1020</v>
      </c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56"/>
    </row>
    <row r="474" spans="1:22" x14ac:dyDescent="0.25">
      <c r="A474" s="25">
        <v>463</v>
      </c>
      <c r="B474" s="23"/>
      <c r="C474" s="1" t="s">
        <v>439</v>
      </c>
      <c r="D474" s="23"/>
      <c r="E474" s="8">
        <v>12</v>
      </c>
      <c r="F474" s="23" t="s">
        <v>309</v>
      </c>
      <c r="G474" s="103">
        <v>195</v>
      </c>
      <c r="H474" s="165">
        <f t="shared" si="16"/>
        <v>2340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56"/>
    </row>
    <row r="475" spans="1:22" x14ac:dyDescent="0.25">
      <c r="A475" s="25">
        <v>464</v>
      </c>
      <c r="B475" s="23"/>
      <c r="C475" s="1" t="s">
        <v>385</v>
      </c>
      <c r="D475" s="23"/>
      <c r="E475" s="8">
        <v>6</v>
      </c>
      <c r="F475" s="8" t="s">
        <v>152</v>
      </c>
      <c r="G475" s="103">
        <v>1150</v>
      </c>
      <c r="H475" s="165">
        <f t="shared" si="16"/>
        <v>6900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56"/>
    </row>
    <row r="476" spans="1:22" x14ac:dyDescent="0.25">
      <c r="A476" s="25">
        <v>465</v>
      </c>
      <c r="B476" s="23"/>
      <c r="C476" s="1" t="s">
        <v>423</v>
      </c>
      <c r="D476" s="23"/>
      <c r="E476" s="8">
        <v>6</v>
      </c>
      <c r="F476" s="8" t="s">
        <v>152</v>
      </c>
      <c r="G476" s="103">
        <v>2250</v>
      </c>
      <c r="H476" s="165">
        <f t="shared" si="16"/>
        <v>13500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56"/>
    </row>
    <row r="477" spans="1:22" x14ac:dyDescent="0.25">
      <c r="A477" s="25">
        <v>466</v>
      </c>
      <c r="B477" s="23"/>
      <c r="C477" s="1" t="s">
        <v>440</v>
      </c>
      <c r="D477" s="23"/>
      <c r="E477" s="8">
        <v>6</v>
      </c>
      <c r="F477" s="8" t="s">
        <v>291</v>
      </c>
      <c r="G477" s="103">
        <v>110</v>
      </c>
      <c r="H477" s="165">
        <f t="shared" si="16"/>
        <v>660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56"/>
    </row>
    <row r="478" spans="1:22" x14ac:dyDescent="0.25">
      <c r="A478" s="25">
        <v>467</v>
      </c>
      <c r="B478" s="23"/>
      <c r="C478" s="1" t="s">
        <v>441</v>
      </c>
      <c r="D478" s="23"/>
      <c r="E478" s="8">
        <v>20</v>
      </c>
      <c r="F478" s="8" t="s">
        <v>310</v>
      </c>
      <c r="G478" s="103">
        <v>65</v>
      </c>
      <c r="H478" s="165">
        <f t="shared" si="16"/>
        <v>1300</v>
      </c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56"/>
    </row>
    <row r="479" spans="1:22" x14ac:dyDescent="0.25">
      <c r="A479" s="25">
        <v>468</v>
      </c>
      <c r="B479" s="23"/>
      <c r="C479" s="1" t="s">
        <v>442</v>
      </c>
      <c r="D479" s="23"/>
      <c r="E479" s="8">
        <v>55</v>
      </c>
      <c r="F479" s="8" t="s">
        <v>152</v>
      </c>
      <c r="G479" s="103">
        <v>65</v>
      </c>
      <c r="H479" s="165">
        <f t="shared" si="16"/>
        <v>3575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56"/>
    </row>
    <row r="480" spans="1:22" x14ac:dyDescent="0.25">
      <c r="A480" s="25">
        <v>469</v>
      </c>
      <c r="B480" s="23"/>
      <c r="C480" s="1" t="s">
        <v>443</v>
      </c>
      <c r="D480" s="23"/>
      <c r="E480" s="8">
        <v>10</v>
      </c>
      <c r="F480" s="8" t="s">
        <v>152</v>
      </c>
      <c r="G480" s="103">
        <v>400</v>
      </c>
      <c r="H480" s="165">
        <f t="shared" si="16"/>
        <v>4000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56"/>
    </row>
    <row r="481" spans="1:22" x14ac:dyDescent="0.25">
      <c r="A481" s="25">
        <v>470</v>
      </c>
      <c r="B481" s="23"/>
      <c r="C481" s="1" t="s">
        <v>444</v>
      </c>
      <c r="D481" s="23"/>
      <c r="E481" s="8">
        <v>90</v>
      </c>
      <c r="F481" s="8" t="s">
        <v>152</v>
      </c>
      <c r="G481" s="103">
        <v>200</v>
      </c>
      <c r="H481" s="165">
        <f t="shared" si="16"/>
        <v>18000</v>
      </c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56"/>
    </row>
    <row r="482" spans="1:22" x14ac:dyDescent="0.25">
      <c r="A482" s="25">
        <v>471</v>
      </c>
      <c r="B482" s="23"/>
      <c r="C482" s="1" t="s">
        <v>445</v>
      </c>
      <c r="D482" s="23"/>
      <c r="E482" s="8">
        <v>12</v>
      </c>
      <c r="F482" s="8" t="s">
        <v>152</v>
      </c>
      <c r="G482" s="103">
        <v>85</v>
      </c>
      <c r="H482" s="165">
        <f t="shared" si="16"/>
        <v>1020</v>
      </c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56"/>
    </row>
    <row r="483" spans="1:22" x14ac:dyDescent="0.25">
      <c r="A483" s="25">
        <v>472</v>
      </c>
      <c r="B483" s="23"/>
      <c r="C483" s="1" t="s">
        <v>446</v>
      </c>
      <c r="D483" s="23"/>
      <c r="E483" s="8">
        <v>20</v>
      </c>
      <c r="F483" s="23" t="s">
        <v>309</v>
      </c>
      <c r="G483" s="103">
        <v>90</v>
      </c>
      <c r="H483" s="165">
        <f t="shared" si="16"/>
        <v>1800</v>
      </c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56"/>
    </row>
    <row r="484" spans="1:22" x14ac:dyDescent="0.25">
      <c r="A484" s="25">
        <v>473</v>
      </c>
      <c r="B484" s="23"/>
      <c r="C484" s="14" t="s">
        <v>456</v>
      </c>
      <c r="D484" s="23"/>
      <c r="E484" s="8"/>
      <c r="F484" s="8"/>
      <c r="G484" s="103"/>
      <c r="H484" s="165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56"/>
    </row>
    <row r="485" spans="1:22" x14ac:dyDescent="0.25">
      <c r="A485" s="25">
        <v>474</v>
      </c>
      <c r="B485" s="23"/>
      <c r="C485" s="1" t="s">
        <v>287</v>
      </c>
      <c r="D485" s="23"/>
      <c r="E485" s="8">
        <f>20*35</f>
        <v>700</v>
      </c>
      <c r="F485" s="8" t="s">
        <v>152</v>
      </c>
      <c r="G485" s="103">
        <v>25</v>
      </c>
      <c r="H485" s="165">
        <f>E485*G485</f>
        <v>17500</v>
      </c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56"/>
    </row>
    <row r="486" spans="1:22" x14ac:dyDescent="0.25">
      <c r="A486" s="25">
        <v>475</v>
      </c>
      <c r="B486" s="23"/>
      <c r="C486" s="1" t="s">
        <v>288</v>
      </c>
      <c r="D486" s="23"/>
      <c r="E486" s="8">
        <f>3*35</f>
        <v>105</v>
      </c>
      <c r="F486" s="8" t="s">
        <v>290</v>
      </c>
      <c r="G486" s="103">
        <v>235</v>
      </c>
      <c r="H486" s="165">
        <f>E486*G486</f>
        <v>24675</v>
      </c>
      <c r="I486" s="66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56"/>
    </row>
    <row r="487" spans="1:22" x14ac:dyDescent="0.25">
      <c r="A487" s="25">
        <v>476</v>
      </c>
      <c r="B487" s="23"/>
      <c r="C487" s="1" t="s">
        <v>455</v>
      </c>
      <c r="D487" s="23"/>
      <c r="E487" s="8">
        <f>6*35</f>
        <v>210</v>
      </c>
      <c r="F487" s="8" t="s">
        <v>291</v>
      </c>
      <c r="G487" s="103">
        <v>385</v>
      </c>
      <c r="H487" s="165">
        <f>E487*G487</f>
        <v>80850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56"/>
    </row>
    <row r="488" spans="1:22" x14ac:dyDescent="0.25">
      <c r="A488" s="25">
        <v>477</v>
      </c>
      <c r="B488" s="23"/>
      <c r="C488" s="14" t="s">
        <v>454</v>
      </c>
      <c r="D488" s="23"/>
      <c r="E488" s="84"/>
      <c r="F488" s="23"/>
      <c r="G488" s="165"/>
      <c r="H488" s="165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56"/>
    </row>
    <row r="489" spans="1:22" x14ac:dyDescent="0.25">
      <c r="A489" s="25">
        <v>478</v>
      </c>
      <c r="B489" s="23"/>
      <c r="C489" s="39" t="s">
        <v>451</v>
      </c>
      <c r="D489" s="23"/>
      <c r="E489" s="36">
        <f>120*5</f>
        <v>600</v>
      </c>
      <c r="F489" s="36" t="s">
        <v>37</v>
      </c>
      <c r="G489" s="104">
        <v>120</v>
      </c>
      <c r="H489" s="35">
        <f>G489*E489</f>
        <v>72000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56"/>
    </row>
    <row r="490" spans="1:22" x14ac:dyDescent="0.25">
      <c r="A490" s="25">
        <v>479</v>
      </c>
      <c r="B490" s="23"/>
      <c r="C490" s="39" t="s">
        <v>247</v>
      </c>
      <c r="D490" s="23"/>
      <c r="E490" s="36">
        <f t="shared" ref="E490:E491" si="17">120*5</f>
        <v>600</v>
      </c>
      <c r="F490" s="36" t="s">
        <v>37</v>
      </c>
      <c r="G490" s="104">
        <v>180</v>
      </c>
      <c r="H490" s="35">
        <f>G490*E490</f>
        <v>108000</v>
      </c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56"/>
    </row>
    <row r="491" spans="1:22" x14ac:dyDescent="0.25">
      <c r="A491" s="25">
        <v>480</v>
      </c>
      <c r="B491" s="23"/>
      <c r="C491" s="39" t="s">
        <v>452</v>
      </c>
      <c r="D491" s="23"/>
      <c r="E491" s="36">
        <f t="shared" si="17"/>
        <v>600</v>
      </c>
      <c r="F491" s="36" t="s">
        <v>37</v>
      </c>
      <c r="G491" s="104">
        <v>120</v>
      </c>
      <c r="H491" s="35">
        <f>G491*E491</f>
        <v>72000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56"/>
    </row>
    <row r="492" spans="1:22" x14ac:dyDescent="0.25">
      <c r="A492" s="25">
        <v>481</v>
      </c>
      <c r="B492" s="23"/>
      <c r="C492" s="14" t="s">
        <v>453</v>
      </c>
      <c r="D492" s="23"/>
      <c r="E492" s="84"/>
      <c r="F492" s="23"/>
      <c r="G492" s="165"/>
      <c r="H492" s="165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56"/>
    </row>
    <row r="493" spans="1:22" x14ac:dyDescent="0.25">
      <c r="A493" s="25">
        <v>482</v>
      </c>
      <c r="B493" s="23"/>
      <c r="C493" s="39" t="s">
        <v>451</v>
      </c>
      <c r="D493" s="23"/>
      <c r="E493" s="36">
        <f>25*35*2</f>
        <v>1750</v>
      </c>
      <c r="F493" s="36" t="s">
        <v>37</v>
      </c>
      <c r="G493" s="104">
        <v>120</v>
      </c>
      <c r="H493" s="165">
        <f>E493*G493</f>
        <v>210000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56"/>
    </row>
    <row r="494" spans="1:22" x14ac:dyDescent="0.25">
      <c r="A494" s="25">
        <v>483</v>
      </c>
      <c r="B494" s="23"/>
      <c r="C494" s="39" t="s">
        <v>247</v>
      </c>
      <c r="D494" s="23"/>
      <c r="E494" s="36">
        <f t="shared" ref="E494:E495" si="18">25*35*2</f>
        <v>1750</v>
      </c>
      <c r="F494" s="36" t="s">
        <v>37</v>
      </c>
      <c r="G494" s="104">
        <v>180</v>
      </c>
      <c r="H494" s="165">
        <f>E494*G494</f>
        <v>315000</v>
      </c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56"/>
    </row>
    <row r="495" spans="1:22" x14ac:dyDescent="0.25">
      <c r="A495" s="25">
        <v>484</v>
      </c>
      <c r="B495" s="23"/>
      <c r="C495" s="39" t="s">
        <v>452</v>
      </c>
      <c r="D495" s="23"/>
      <c r="E495" s="36">
        <f t="shared" si="18"/>
        <v>1750</v>
      </c>
      <c r="F495" s="36" t="s">
        <v>37</v>
      </c>
      <c r="G495" s="104">
        <v>120</v>
      </c>
      <c r="H495" s="165">
        <f>E495*G495</f>
        <v>210000</v>
      </c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56"/>
    </row>
    <row r="496" spans="1:22" x14ac:dyDescent="0.25">
      <c r="A496" s="25">
        <v>485</v>
      </c>
      <c r="B496" s="23"/>
      <c r="C496" s="14"/>
      <c r="D496" s="23"/>
      <c r="E496" s="84"/>
      <c r="F496" s="23"/>
      <c r="G496" s="165"/>
      <c r="H496" s="165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56"/>
    </row>
    <row r="497" spans="1:22" ht="30" x14ac:dyDescent="0.25">
      <c r="A497" s="25">
        <v>486</v>
      </c>
      <c r="B497" s="89" t="s">
        <v>61</v>
      </c>
      <c r="C497" s="90" t="s">
        <v>78</v>
      </c>
      <c r="D497" s="89" t="s">
        <v>27</v>
      </c>
      <c r="E497" s="89"/>
      <c r="F497" s="89"/>
      <c r="G497" s="163"/>
      <c r="H497" s="167">
        <v>600000</v>
      </c>
      <c r="I497" s="89" t="s">
        <v>52</v>
      </c>
      <c r="J497" s="60"/>
      <c r="K497" s="60"/>
      <c r="L497" s="60"/>
      <c r="M497" s="60">
        <v>2</v>
      </c>
      <c r="N497" s="60"/>
      <c r="O497" s="60"/>
      <c r="P497" s="60">
        <v>2</v>
      </c>
      <c r="Q497" s="60"/>
      <c r="R497" s="60"/>
      <c r="S497" s="60"/>
      <c r="T497" s="60"/>
      <c r="U497" s="60"/>
      <c r="V497" s="56"/>
    </row>
    <row r="498" spans="1:22" x14ac:dyDescent="0.25">
      <c r="A498" s="25">
        <v>487</v>
      </c>
      <c r="B498" s="23"/>
      <c r="C498" s="16" t="s">
        <v>459</v>
      </c>
      <c r="D498" s="23"/>
      <c r="E498" s="84"/>
      <c r="F498" s="23"/>
      <c r="G498" s="165"/>
      <c r="H498" s="165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56"/>
    </row>
    <row r="499" spans="1:22" x14ac:dyDescent="0.25">
      <c r="A499" s="25">
        <v>488</v>
      </c>
      <c r="B499" s="23"/>
      <c r="C499" s="1" t="s">
        <v>248</v>
      </c>
      <c r="D499" s="23"/>
      <c r="E499" s="25">
        <f>25*10</f>
        <v>250</v>
      </c>
      <c r="F499" s="8" t="s">
        <v>152</v>
      </c>
      <c r="G499" s="113">
        <v>85</v>
      </c>
      <c r="H499" s="165">
        <f t="shared" ref="H499:H508" si="19">E499*G499</f>
        <v>21250</v>
      </c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56"/>
    </row>
    <row r="500" spans="1:22" x14ac:dyDescent="0.25">
      <c r="A500" s="25">
        <v>489</v>
      </c>
      <c r="B500" s="23"/>
      <c r="C500" s="1" t="s">
        <v>249</v>
      </c>
      <c r="D500" s="23"/>
      <c r="E500" s="25">
        <f>30*10</f>
        <v>300</v>
      </c>
      <c r="F500" s="8" t="s">
        <v>152</v>
      </c>
      <c r="G500" s="113">
        <v>150</v>
      </c>
      <c r="H500" s="165">
        <f t="shared" si="19"/>
        <v>45000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56"/>
    </row>
    <row r="501" spans="1:22" x14ac:dyDescent="0.25">
      <c r="A501" s="25">
        <v>490</v>
      </c>
      <c r="B501" s="23"/>
      <c r="C501" s="1" t="s">
        <v>250</v>
      </c>
      <c r="D501" s="23"/>
      <c r="E501" s="25">
        <f>30*10</f>
        <v>300</v>
      </c>
      <c r="F501" s="8" t="s">
        <v>152</v>
      </c>
      <c r="G501" s="113">
        <v>150</v>
      </c>
      <c r="H501" s="165">
        <f t="shared" si="19"/>
        <v>45000</v>
      </c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56"/>
    </row>
    <row r="502" spans="1:22" x14ac:dyDescent="0.25">
      <c r="A502" s="25">
        <v>491</v>
      </c>
      <c r="B502" s="23"/>
      <c r="C502" s="1" t="s">
        <v>251</v>
      </c>
      <c r="D502" s="23"/>
      <c r="E502" s="25">
        <f>10*10</f>
        <v>100</v>
      </c>
      <c r="F502" s="8" t="s">
        <v>152</v>
      </c>
      <c r="G502" s="113">
        <v>150</v>
      </c>
      <c r="H502" s="165">
        <f t="shared" si="19"/>
        <v>15000</v>
      </c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56"/>
    </row>
    <row r="503" spans="1:22" x14ac:dyDescent="0.25">
      <c r="A503" s="25">
        <v>492</v>
      </c>
      <c r="B503" s="23"/>
      <c r="C503" s="1" t="s">
        <v>252</v>
      </c>
      <c r="D503" s="23"/>
      <c r="E503" s="25">
        <f>10*10</f>
        <v>100</v>
      </c>
      <c r="F503" s="8" t="s">
        <v>152</v>
      </c>
      <c r="G503" s="113">
        <v>120</v>
      </c>
      <c r="H503" s="165">
        <f t="shared" si="19"/>
        <v>12000</v>
      </c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56"/>
    </row>
    <row r="504" spans="1:22" x14ac:dyDescent="0.25">
      <c r="A504" s="25">
        <v>493</v>
      </c>
      <c r="B504" s="23"/>
      <c r="C504" s="1" t="s">
        <v>254</v>
      </c>
      <c r="D504" s="23"/>
      <c r="E504" s="25">
        <f>5*10</f>
        <v>50</v>
      </c>
      <c r="F504" s="23" t="s">
        <v>309</v>
      </c>
      <c r="G504" s="113">
        <v>400</v>
      </c>
      <c r="H504" s="165">
        <f t="shared" si="19"/>
        <v>20000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56"/>
    </row>
    <row r="505" spans="1:22" x14ac:dyDescent="0.25">
      <c r="A505" s="25">
        <v>494</v>
      </c>
      <c r="B505" s="23"/>
      <c r="C505" s="1" t="s">
        <v>255</v>
      </c>
      <c r="D505" s="23"/>
      <c r="E505" s="25">
        <f>20*10</f>
        <v>200</v>
      </c>
      <c r="F505" s="8" t="s">
        <v>152</v>
      </c>
      <c r="G505" s="113">
        <v>25</v>
      </c>
      <c r="H505" s="165">
        <f t="shared" si="19"/>
        <v>5000</v>
      </c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56"/>
    </row>
    <row r="506" spans="1:22" x14ac:dyDescent="0.25">
      <c r="A506" s="25">
        <v>495</v>
      </c>
      <c r="B506" s="23"/>
      <c r="C506" s="1" t="s">
        <v>258</v>
      </c>
      <c r="D506" s="23"/>
      <c r="E506" s="25">
        <f>5*10</f>
        <v>50</v>
      </c>
      <c r="F506" s="23" t="s">
        <v>457</v>
      </c>
      <c r="G506" s="113">
        <v>300</v>
      </c>
      <c r="H506" s="165">
        <f t="shared" si="19"/>
        <v>15000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56"/>
    </row>
    <row r="507" spans="1:22" x14ac:dyDescent="0.25">
      <c r="A507" s="25">
        <v>496</v>
      </c>
      <c r="B507" s="23"/>
      <c r="C507" s="1" t="s">
        <v>259</v>
      </c>
      <c r="D507" s="23"/>
      <c r="E507" s="25">
        <f>31*10</f>
        <v>310</v>
      </c>
      <c r="F507" s="8" t="s">
        <v>152</v>
      </c>
      <c r="G507" s="113">
        <v>35</v>
      </c>
      <c r="H507" s="165">
        <f t="shared" si="19"/>
        <v>10850</v>
      </c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56"/>
    </row>
    <row r="508" spans="1:22" x14ac:dyDescent="0.25">
      <c r="A508" s="25">
        <v>497</v>
      </c>
      <c r="B508" s="23"/>
      <c r="C508" s="1" t="s">
        <v>260</v>
      </c>
      <c r="D508" s="23"/>
      <c r="E508" s="25">
        <f>10*10</f>
        <v>100</v>
      </c>
      <c r="F508" s="8" t="s">
        <v>152</v>
      </c>
      <c r="G508" s="113">
        <v>86</v>
      </c>
      <c r="H508" s="165">
        <f t="shared" si="19"/>
        <v>8600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56"/>
    </row>
    <row r="509" spans="1:22" x14ac:dyDescent="0.25">
      <c r="A509" s="25">
        <v>498</v>
      </c>
      <c r="B509" s="23"/>
      <c r="C509" s="4" t="s">
        <v>460</v>
      </c>
      <c r="D509" s="23"/>
      <c r="E509" s="84"/>
      <c r="F509" s="23"/>
      <c r="G509" s="165"/>
      <c r="H509" s="165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56"/>
    </row>
    <row r="510" spans="1:22" x14ac:dyDescent="0.25">
      <c r="A510" s="25">
        <v>499</v>
      </c>
      <c r="B510" s="23"/>
      <c r="C510" s="1" t="s">
        <v>268</v>
      </c>
      <c r="D510" s="23"/>
      <c r="E510" s="25">
        <f>5*10</f>
        <v>50</v>
      </c>
      <c r="F510" s="8" t="s">
        <v>291</v>
      </c>
      <c r="G510" s="94">
        <v>399</v>
      </c>
      <c r="H510" s="105">
        <f>E510*G510</f>
        <v>19950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56"/>
    </row>
    <row r="511" spans="1:22" x14ac:dyDescent="0.25">
      <c r="A511" s="25">
        <v>500</v>
      </c>
      <c r="B511" s="23"/>
      <c r="C511" s="1" t="s">
        <v>269</v>
      </c>
      <c r="D511" s="23"/>
      <c r="E511" s="25">
        <f t="shared" ref="E511:E513" si="20">5*10</f>
        <v>50</v>
      </c>
      <c r="F511" s="8" t="s">
        <v>291</v>
      </c>
      <c r="G511" s="94">
        <v>399</v>
      </c>
      <c r="H511" s="105">
        <f>E511*G511</f>
        <v>19950</v>
      </c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56"/>
    </row>
    <row r="512" spans="1:22" x14ac:dyDescent="0.25">
      <c r="A512" s="25">
        <v>501</v>
      </c>
      <c r="B512" s="23"/>
      <c r="C512" s="1" t="s">
        <v>270</v>
      </c>
      <c r="D512" s="23"/>
      <c r="E512" s="25">
        <f t="shared" si="20"/>
        <v>50</v>
      </c>
      <c r="F512" s="8" t="s">
        <v>291</v>
      </c>
      <c r="G512" s="94">
        <v>399</v>
      </c>
      <c r="H512" s="105">
        <f>E512*G512</f>
        <v>19950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56"/>
    </row>
    <row r="513" spans="1:22" x14ac:dyDescent="0.25">
      <c r="A513" s="25">
        <v>502</v>
      </c>
      <c r="B513" s="23"/>
      <c r="C513" s="1" t="s">
        <v>271</v>
      </c>
      <c r="D513" s="23"/>
      <c r="E513" s="25">
        <f t="shared" si="20"/>
        <v>50</v>
      </c>
      <c r="F513" s="8" t="s">
        <v>291</v>
      </c>
      <c r="G513" s="94">
        <v>399</v>
      </c>
      <c r="H513" s="105">
        <f>E513*G513</f>
        <v>19950</v>
      </c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56"/>
    </row>
    <row r="514" spans="1:22" x14ac:dyDescent="0.25">
      <c r="A514" s="25">
        <v>503</v>
      </c>
      <c r="B514" s="23"/>
      <c r="C514" s="14" t="s">
        <v>458</v>
      </c>
      <c r="D514" s="23"/>
      <c r="E514" s="84"/>
      <c r="F514" s="23"/>
      <c r="G514" s="165"/>
      <c r="H514" s="165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56"/>
    </row>
    <row r="515" spans="1:22" x14ac:dyDescent="0.25">
      <c r="A515" s="25">
        <v>504</v>
      </c>
      <c r="B515" s="23"/>
      <c r="C515" s="14" t="s">
        <v>263</v>
      </c>
      <c r="D515" s="23"/>
      <c r="E515" s="84">
        <f>43*10</f>
        <v>430</v>
      </c>
      <c r="F515" s="23" t="s">
        <v>37</v>
      </c>
      <c r="G515" s="165">
        <v>150</v>
      </c>
      <c r="H515" s="165">
        <f>E515*G515</f>
        <v>64500</v>
      </c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56"/>
    </row>
    <row r="516" spans="1:22" x14ac:dyDescent="0.25">
      <c r="A516" s="25">
        <v>505</v>
      </c>
      <c r="B516" s="23"/>
      <c r="C516" s="14" t="s">
        <v>246</v>
      </c>
      <c r="D516" s="23"/>
      <c r="E516" s="84">
        <f t="shared" ref="E516:E519" si="21">43*10</f>
        <v>430</v>
      </c>
      <c r="F516" s="23" t="s">
        <v>37</v>
      </c>
      <c r="G516" s="165">
        <v>120</v>
      </c>
      <c r="H516" s="165">
        <f>E516*G516</f>
        <v>51600</v>
      </c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56"/>
    </row>
    <row r="517" spans="1:22" x14ac:dyDescent="0.25">
      <c r="A517" s="25">
        <v>506</v>
      </c>
      <c r="B517" s="23"/>
      <c r="C517" s="14" t="s">
        <v>264</v>
      </c>
      <c r="D517" s="23"/>
      <c r="E517" s="84">
        <f t="shared" si="21"/>
        <v>430</v>
      </c>
      <c r="F517" s="23" t="s">
        <v>37</v>
      </c>
      <c r="G517" s="165">
        <v>180</v>
      </c>
      <c r="H517" s="165">
        <f>E517*G517</f>
        <v>77400</v>
      </c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56"/>
    </row>
    <row r="518" spans="1:22" x14ac:dyDescent="0.25">
      <c r="A518" s="25">
        <v>507</v>
      </c>
      <c r="B518" s="23"/>
      <c r="C518" s="14" t="s">
        <v>265</v>
      </c>
      <c r="D518" s="23"/>
      <c r="E518" s="84">
        <f t="shared" si="21"/>
        <v>430</v>
      </c>
      <c r="F518" s="23" t="s">
        <v>37</v>
      </c>
      <c r="G518" s="165">
        <v>120</v>
      </c>
      <c r="H518" s="165">
        <f>E518*G518</f>
        <v>51600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56"/>
    </row>
    <row r="519" spans="1:22" x14ac:dyDescent="0.25">
      <c r="A519" s="25">
        <v>508</v>
      </c>
      <c r="B519" s="23"/>
      <c r="C519" s="14" t="s">
        <v>266</v>
      </c>
      <c r="D519" s="23"/>
      <c r="E519" s="84">
        <f t="shared" si="21"/>
        <v>430</v>
      </c>
      <c r="F519" s="23" t="s">
        <v>37</v>
      </c>
      <c r="G519" s="165">
        <v>180</v>
      </c>
      <c r="H519" s="165">
        <f>E519*G519</f>
        <v>77400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56"/>
    </row>
    <row r="520" spans="1:22" x14ac:dyDescent="0.25">
      <c r="A520" s="25">
        <v>509</v>
      </c>
      <c r="B520" s="23"/>
      <c r="C520" s="14"/>
      <c r="D520" s="23"/>
      <c r="E520" s="84"/>
      <c r="F520" s="23"/>
      <c r="G520" s="165"/>
      <c r="H520" s="165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56"/>
    </row>
    <row r="521" spans="1:22" ht="30" x14ac:dyDescent="0.25">
      <c r="A521" s="25">
        <v>510</v>
      </c>
      <c r="B521" s="89" t="s">
        <v>61</v>
      </c>
      <c r="C521" s="90" t="s">
        <v>79</v>
      </c>
      <c r="D521" s="89" t="s">
        <v>27</v>
      </c>
      <c r="E521" s="89"/>
      <c r="F521" s="89"/>
      <c r="G521" s="163"/>
      <c r="H521" s="167">
        <v>200000</v>
      </c>
      <c r="I521" s="89" t="s">
        <v>52</v>
      </c>
      <c r="J521" s="60"/>
      <c r="K521" s="60">
        <v>1</v>
      </c>
      <c r="L521" s="60"/>
      <c r="M521" s="60"/>
      <c r="N521" s="60">
        <v>1</v>
      </c>
      <c r="O521" s="60"/>
      <c r="P521" s="60">
        <v>1</v>
      </c>
      <c r="Q521" s="60"/>
      <c r="R521" s="60"/>
      <c r="S521" s="60"/>
      <c r="T521" s="60"/>
      <c r="U521" s="60"/>
      <c r="V521" s="56"/>
    </row>
    <row r="522" spans="1:22" x14ac:dyDescent="0.25">
      <c r="A522" s="25">
        <v>511</v>
      </c>
      <c r="B522" s="23"/>
      <c r="C522" s="14" t="s">
        <v>465</v>
      </c>
      <c r="D522" s="23"/>
      <c r="E522" s="84"/>
      <c r="F522" s="23"/>
      <c r="G522" s="165"/>
      <c r="H522" s="165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56"/>
    </row>
    <row r="523" spans="1:22" x14ac:dyDescent="0.25">
      <c r="A523" s="25">
        <v>512</v>
      </c>
      <c r="B523" s="23"/>
      <c r="C523" s="22" t="s">
        <v>461</v>
      </c>
      <c r="D523" s="23"/>
      <c r="E523" s="67">
        <f>43*4</f>
        <v>172</v>
      </c>
      <c r="F523" s="67" t="s">
        <v>37</v>
      </c>
      <c r="G523" s="172">
        <v>150</v>
      </c>
      <c r="H523" s="105">
        <f>E523*G523</f>
        <v>25800</v>
      </c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56"/>
    </row>
    <row r="524" spans="1:22" x14ac:dyDescent="0.25">
      <c r="A524" s="25">
        <v>513</v>
      </c>
      <c r="B524" s="23"/>
      <c r="C524" s="22" t="s">
        <v>462</v>
      </c>
      <c r="D524" s="23"/>
      <c r="E524" s="67">
        <f t="shared" ref="E524:E526" si="22">43*4</f>
        <v>172</v>
      </c>
      <c r="F524" s="67" t="s">
        <v>37</v>
      </c>
      <c r="G524" s="172">
        <v>120</v>
      </c>
      <c r="H524" s="105">
        <f>E524*G524</f>
        <v>20640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56"/>
    </row>
    <row r="525" spans="1:22" x14ac:dyDescent="0.25">
      <c r="A525" s="25">
        <v>514</v>
      </c>
      <c r="B525" s="23"/>
      <c r="C525" s="22" t="s">
        <v>463</v>
      </c>
      <c r="D525" s="23"/>
      <c r="E525" s="67">
        <f t="shared" si="22"/>
        <v>172</v>
      </c>
      <c r="F525" s="67" t="s">
        <v>37</v>
      </c>
      <c r="G525" s="172">
        <v>180</v>
      </c>
      <c r="H525" s="105">
        <f>E525*G525</f>
        <v>30960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56"/>
    </row>
    <row r="526" spans="1:22" x14ac:dyDescent="0.25">
      <c r="A526" s="25">
        <v>515</v>
      </c>
      <c r="B526" s="23"/>
      <c r="C526" s="22" t="s">
        <v>464</v>
      </c>
      <c r="D526" s="23"/>
      <c r="E526" s="67">
        <f t="shared" si="22"/>
        <v>172</v>
      </c>
      <c r="F526" s="67" t="s">
        <v>37</v>
      </c>
      <c r="G526" s="172">
        <v>120</v>
      </c>
      <c r="H526" s="105">
        <f>E526*G526</f>
        <v>20640</v>
      </c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56"/>
    </row>
    <row r="527" spans="1:22" x14ac:dyDescent="0.25">
      <c r="A527" s="25">
        <v>516</v>
      </c>
      <c r="B527" s="23"/>
      <c r="C527" s="14" t="s">
        <v>466</v>
      </c>
      <c r="D527" s="23"/>
      <c r="E527" s="84"/>
      <c r="F527" s="23"/>
      <c r="G527" s="165"/>
      <c r="H527" s="165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56"/>
    </row>
    <row r="528" spans="1:22" x14ac:dyDescent="0.25">
      <c r="A528" s="25">
        <v>517</v>
      </c>
      <c r="B528" s="23"/>
      <c r="C528" s="21" t="s">
        <v>469</v>
      </c>
      <c r="D528" s="23"/>
      <c r="E528" s="67">
        <f>4*2</f>
        <v>8</v>
      </c>
      <c r="F528" s="23" t="s">
        <v>309</v>
      </c>
      <c r="G528" s="173">
        <v>1200</v>
      </c>
      <c r="H528" s="168">
        <f t="shared" ref="H528:H533" si="23">G528*E528</f>
        <v>9600</v>
      </c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56"/>
    </row>
    <row r="529" spans="1:22" x14ac:dyDescent="0.25">
      <c r="A529" s="25">
        <v>518</v>
      </c>
      <c r="B529" s="23"/>
      <c r="C529" s="21" t="s">
        <v>470</v>
      </c>
      <c r="D529" s="23"/>
      <c r="E529" s="67">
        <f>3*2</f>
        <v>6</v>
      </c>
      <c r="F529" s="68" t="s">
        <v>475</v>
      </c>
      <c r="G529" s="173">
        <v>150</v>
      </c>
      <c r="H529" s="168">
        <f t="shared" si="23"/>
        <v>900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56"/>
    </row>
    <row r="530" spans="1:22" x14ac:dyDescent="0.25">
      <c r="A530" s="25">
        <v>519</v>
      </c>
      <c r="B530" s="23"/>
      <c r="C530" s="21" t="s">
        <v>471</v>
      </c>
      <c r="D530" s="23"/>
      <c r="E530" s="67">
        <f t="shared" ref="E530:E531" si="24">3*2</f>
        <v>6</v>
      </c>
      <c r="F530" s="23" t="s">
        <v>309</v>
      </c>
      <c r="G530" s="173">
        <v>575</v>
      </c>
      <c r="H530" s="168">
        <f t="shared" si="23"/>
        <v>3450</v>
      </c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56"/>
    </row>
    <row r="531" spans="1:22" x14ac:dyDescent="0.25">
      <c r="A531" s="25">
        <v>520</v>
      </c>
      <c r="B531" s="23"/>
      <c r="C531" s="21" t="s">
        <v>472</v>
      </c>
      <c r="D531" s="23"/>
      <c r="E531" s="67">
        <f t="shared" si="24"/>
        <v>6</v>
      </c>
      <c r="F531" s="23" t="s">
        <v>567</v>
      </c>
      <c r="G531" s="173">
        <v>350</v>
      </c>
      <c r="H531" s="168">
        <f t="shared" si="23"/>
        <v>2100</v>
      </c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56"/>
    </row>
    <row r="532" spans="1:22" x14ac:dyDescent="0.25">
      <c r="A532" s="25">
        <v>521</v>
      </c>
      <c r="B532" s="23"/>
      <c r="C532" s="21" t="s">
        <v>473</v>
      </c>
      <c r="D532" s="23"/>
      <c r="E532" s="67">
        <f>3*2</f>
        <v>6</v>
      </c>
      <c r="F532" s="68" t="s">
        <v>358</v>
      </c>
      <c r="G532" s="173">
        <v>500</v>
      </c>
      <c r="H532" s="168">
        <f t="shared" si="23"/>
        <v>3000</v>
      </c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56"/>
    </row>
    <row r="533" spans="1:22" x14ac:dyDescent="0.25">
      <c r="A533" s="25">
        <v>522</v>
      </c>
      <c r="B533" s="23"/>
      <c r="C533" s="21" t="s">
        <v>474</v>
      </c>
      <c r="D533" s="23"/>
      <c r="E533" s="67">
        <f>43*2</f>
        <v>86</v>
      </c>
      <c r="F533" s="8" t="s">
        <v>291</v>
      </c>
      <c r="G533" s="173">
        <v>150</v>
      </c>
      <c r="H533" s="168">
        <f t="shared" si="23"/>
        <v>12900</v>
      </c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56"/>
    </row>
    <row r="534" spans="1:22" x14ac:dyDescent="0.25">
      <c r="A534" s="25">
        <v>523</v>
      </c>
      <c r="B534" s="23"/>
      <c r="C534" s="14" t="s">
        <v>467</v>
      </c>
      <c r="D534" s="23"/>
      <c r="E534" s="84"/>
      <c r="F534" s="23"/>
      <c r="G534" s="165"/>
      <c r="H534" s="165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56"/>
    </row>
    <row r="535" spans="1:22" x14ac:dyDescent="0.25">
      <c r="A535" s="25">
        <v>524</v>
      </c>
      <c r="B535" s="23"/>
      <c r="C535" s="21" t="s">
        <v>476</v>
      </c>
      <c r="D535" s="23"/>
      <c r="E535" s="67">
        <f>2*2</f>
        <v>4</v>
      </c>
      <c r="F535" s="8" t="s">
        <v>152</v>
      </c>
      <c r="G535" s="172">
        <v>6552.5</v>
      </c>
      <c r="H535" s="174">
        <f>(E535*G535)</f>
        <v>26210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56"/>
    </row>
    <row r="536" spans="1:22" x14ac:dyDescent="0.25">
      <c r="A536" s="25">
        <v>525</v>
      </c>
      <c r="B536" s="23"/>
      <c r="C536" s="14" t="s">
        <v>468</v>
      </c>
      <c r="D536" s="23"/>
      <c r="E536" s="84"/>
      <c r="F536" s="23"/>
      <c r="G536" s="165"/>
      <c r="H536" s="165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56"/>
    </row>
    <row r="537" spans="1:22" x14ac:dyDescent="0.25">
      <c r="A537" s="25">
        <v>526</v>
      </c>
      <c r="B537" s="23"/>
      <c r="C537" s="22" t="s">
        <v>477</v>
      </c>
      <c r="D537" s="23"/>
      <c r="E537" s="67">
        <f>2*2</f>
        <v>4</v>
      </c>
      <c r="F537" s="68" t="s">
        <v>28</v>
      </c>
      <c r="G537" s="173">
        <v>2700</v>
      </c>
      <c r="H537" s="175">
        <f>(E537*G537)</f>
        <v>10800</v>
      </c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56"/>
    </row>
    <row r="538" spans="1:22" x14ac:dyDescent="0.25">
      <c r="A538" s="25">
        <v>527</v>
      </c>
      <c r="B538" s="23"/>
      <c r="C538" s="21" t="s">
        <v>478</v>
      </c>
      <c r="D538" s="23"/>
      <c r="E538" s="67">
        <f>3*2</f>
        <v>6</v>
      </c>
      <c r="F538" s="68" t="s">
        <v>28</v>
      </c>
      <c r="G538" s="173">
        <v>5500</v>
      </c>
      <c r="H538" s="175">
        <f>(E538*G538)</f>
        <v>33000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56"/>
    </row>
    <row r="539" spans="1:22" x14ac:dyDescent="0.25">
      <c r="A539" s="25">
        <v>528</v>
      </c>
      <c r="B539" s="23"/>
      <c r="C539" s="14"/>
      <c r="D539" s="23"/>
      <c r="E539" s="84"/>
      <c r="F539" s="23"/>
      <c r="G539" s="165"/>
      <c r="H539" s="165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56"/>
    </row>
    <row r="540" spans="1:22" ht="30" x14ac:dyDescent="0.25">
      <c r="A540" s="25">
        <v>529</v>
      </c>
      <c r="B540" s="89" t="s">
        <v>61</v>
      </c>
      <c r="C540" s="90" t="s">
        <v>81</v>
      </c>
      <c r="D540" s="89" t="s">
        <v>27</v>
      </c>
      <c r="E540" s="89"/>
      <c r="F540" s="89"/>
      <c r="G540" s="163"/>
      <c r="H540" s="167">
        <v>290348</v>
      </c>
      <c r="I540" s="89" t="s">
        <v>52</v>
      </c>
      <c r="J540" s="60"/>
      <c r="K540" s="60"/>
      <c r="L540" s="60"/>
      <c r="M540" s="60">
        <v>1</v>
      </c>
      <c r="N540" s="60"/>
      <c r="O540" s="60"/>
      <c r="P540" s="60">
        <v>1</v>
      </c>
      <c r="Q540" s="60"/>
      <c r="R540" s="60"/>
      <c r="S540" s="60">
        <v>1</v>
      </c>
      <c r="T540" s="60"/>
      <c r="U540" s="60"/>
      <c r="V540" s="56"/>
    </row>
    <row r="541" spans="1:22" x14ac:dyDescent="0.25">
      <c r="A541" s="25">
        <v>530</v>
      </c>
      <c r="B541" s="23"/>
      <c r="C541" s="14" t="s">
        <v>634</v>
      </c>
      <c r="D541" s="23"/>
      <c r="E541" s="84">
        <v>12</v>
      </c>
      <c r="F541" s="23" t="s">
        <v>37</v>
      </c>
      <c r="G541" s="165">
        <v>6000</v>
      </c>
      <c r="H541" s="165">
        <v>72000</v>
      </c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56"/>
    </row>
    <row r="542" spans="1:22" x14ac:dyDescent="0.25">
      <c r="A542" s="25">
        <v>531</v>
      </c>
      <c r="B542" s="23"/>
      <c r="C542" s="14" t="s">
        <v>635</v>
      </c>
      <c r="D542" s="23"/>
      <c r="E542" s="84">
        <v>12</v>
      </c>
      <c r="F542" s="8" t="s">
        <v>152</v>
      </c>
      <c r="G542" s="165">
        <v>2500</v>
      </c>
      <c r="H542" s="165">
        <v>30000</v>
      </c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56"/>
    </row>
    <row r="543" spans="1:22" x14ac:dyDescent="0.25">
      <c r="A543" s="25">
        <v>532</v>
      </c>
      <c r="B543" s="23"/>
      <c r="C543" s="14" t="s">
        <v>636</v>
      </c>
      <c r="D543" s="23"/>
      <c r="E543" s="84">
        <v>4</v>
      </c>
      <c r="F543" s="23" t="s">
        <v>637</v>
      </c>
      <c r="G543" s="165">
        <v>27287</v>
      </c>
      <c r="H543" s="165">
        <v>109148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56"/>
    </row>
    <row r="544" spans="1:22" x14ac:dyDescent="0.25">
      <c r="A544" s="25">
        <v>533</v>
      </c>
      <c r="B544" s="23"/>
      <c r="C544" s="14" t="s">
        <v>638</v>
      </c>
      <c r="D544" s="23"/>
      <c r="E544" s="84">
        <v>40</v>
      </c>
      <c r="F544" s="23" t="s">
        <v>37</v>
      </c>
      <c r="G544" s="165">
        <v>540</v>
      </c>
      <c r="H544" s="165">
        <v>21600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56"/>
    </row>
    <row r="545" spans="1:22" x14ac:dyDescent="0.25">
      <c r="A545" s="25">
        <v>534</v>
      </c>
      <c r="B545" s="23"/>
      <c r="C545" s="14" t="s">
        <v>639</v>
      </c>
      <c r="D545" s="23"/>
      <c r="E545" s="84">
        <v>40</v>
      </c>
      <c r="F545" s="23" t="s">
        <v>37</v>
      </c>
      <c r="G545" s="165">
        <v>720</v>
      </c>
      <c r="H545" s="165">
        <v>28800</v>
      </c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56"/>
    </row>
    <row r="546" spans="1:22" x14ac:dyDescent="0.25">
      <c r="A546" s="25">
        <v>535</v>
      </c>
      <c r="B546" s="23"/>
      <c r="C546" s="14" t="s">
        <v>640</v>
      </c>
      <c r="D546" s="23"/>
      <c r="E546" s="84">
        <v>40</v>
      </c>
      <c r="F546" s="23" t="s">
        <v>37</v>
      </c>
      <c r="G546" s="165">
        <v>720</v>
      </c>
      <c r="H546" s="165">
        <v>28800</v>
      </c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56"/>
    </row>
    <row r="547" spans="1:22" x14ac:dyDescent="0.25">
      <c r="A547" s="25">
        <v>536</v>
      </c>
      <c r="B547" s="23"/>
      <c r="C547" s="14"/>
      <c r="D547" s="23"/>
      <c r="E547" s="84"/>
      <c r="F547" s="23"/>
      <c r="G547" s="165"/>
      <c r="H547" s="165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56"/>
    </row>
    <row r="548" spans="1:22" ht="30" x14ac:dyDescent="0.25">
      <c r="A548" s="25">
        <v>537</v>
      </c>
      <c r="B548" s="89" t="s">
        <v>61</v>
      </c>
      <c r="C548" s="90" t="s">
        <v>82</v>
      </c>
      <c r="D548" s="89" t="s">
        <v>27</v>
      </c>
      <c r="E548" s="89"/>
      <c r="F548" s="89"/>
      <c r="G548" s="163"/>
      <c r="H548" s="167">
        <v>102338.5</v>
      </c>
      <c r="I548" s="89" t="s">
        <v>52</v>
      </c>
      <c r="J548" s="60"/>
      <c r="K548" s="60"/>
      <c r="L548" s="60">
        <v>1</v>
      </c>
      <c r="M548" s="60"/>
      <c r="N548" s="60"/>
      <c r="O548" s="60">
        <v>1</v>
      </c>
      <c r="P548" s="60"/>
      <c r="Q548" s="60"/>
      <c r="R548" s="60">
        <v>1</v>
      </c>
      <c r="S548" s="60"/>
      <c r="T548" s="60"/>
      <c r="U548" s="60"/>
      <c r="V548" s="56"/>
    </row>
    <row r="549" spans="1:22" x14ac:dyDescent="0.25">
      <c r="A549" s="25">
        <v>538</v>
      </c>
      <c r="B549" s="23"/>
      <c r="C549" s="14" t="s">
        <v>595</v>
      </c>
      <c r="D549" s="23"/>
      <c r="E549" s="84">
        <v>20</v>
      </c>
      <c r="F549" s="23" t="s">
        <v>309</v>
      </c>
      <c r="G549" s="165">
        <v>150</v>
      </c>
      <c r="H549" s="165">
        <v>3000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56"/>
    </row>
    <row r="550" spans="1:22" x14ac:dyDescent="0.25">
      <c r="A550" s="25">
        <v>539</v>
      </c>
      <c r="B550" s="23"/>
      <c r="C550" s="14" t="s">
        <v>583</v>
      </c>
      <c r="D550" s="23"/>
      <c r="E550" s="84">
        <v>20</v>
      </c>
      <c r="F550" s="23" t="s">
        <v>309</v>
      </c>
      <c r="G550" s="165">
        <v>100</v>
      </c>
      <c r="H550" s="165">
        <v>2000</v>
      </c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56"/>
    </row>
    <row r="551" spans="1:22" x14ac:dyDescent="0.25">
      <c r="A551" s="25">
        <v>540</v>
      </c>
      <c r="B551" s="23"/>
      <c r="C551" s="14" t="s">
        <v>584</v>
      </c>
      <c r="D551" s="23"/>
      <c r="E551" s="84">
        <v>4</v>
      </c>
      <c r="F551" s="23" t="s">
        <v>309</v>
      </c>
      <c r="G551" s="165">
        <v>100</v>
      </c>
      <c r="H551" s="165">
        <v>400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56"/>
    </row>
    <row r="552" spans="1:22" ht="28.5" x14ac:dyDescent="0.25">
      <c r="A552" s="25">
        <v>541</v>
      </c>
      <c r="B552" s="23"/>
      <c r="C552" s="14" t="s">
        <v>641</v>
      </c>
      <c r="D552" s="23"/>
      <c r="E552" s="84">
        <v>8</v>
      </c>
      <c r="F552" s="23" t="s">
        <v>37</v>
      </c>
      <c r="G552" s="165">
        <v>360</v>
      </c>
      <c r="H552" s="165">
        <v>2880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56"/>
    </row>
    <row r="553" spans="1:22" ht="28.5" x14ac:dyDescent="0.25">
      <c r="A553" s="25">
        <v>542</v>
      </c>
      <c r="B553" s="23"/>
      <c r="C553" s="14" t="s">
        <v>642</v>
      </c>
      <c r="D553" s="23"/>
      <c r="E553" s="84">
        <v>8</v>
      </c>
      <c r="F553" s="23" t="s">
        <v>37</v>
      </c>
      <c r="G553" s="165">
        <v>540</v>
      </c>
      <c r="H553" s="165">
        <v>4320</v>
      </c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56"/>
    </row>
    <row r="554" spans="1:22" ht="28.5" x14ac:dyDescent="0.25">
      <c r="A554" s="25">
        <v>543</v>
      </c>
      <c r="B554" s="23"/>
      <c r="C554" s="14" t="s">
        <v>643</v>
      </c>
      <c r="D554" s="23"/>
      <c r="E554" s="84">
        <v>8</v>
      </c>
      <c r="F554" s="23" t="s">
        <v>37</v>
      </c>
      <c r="G554" s="165">
        <v>360</v>
      </c>
      <c r="H554" s="165">
        <v>2880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56"/>
    </row>
    <row r="555" spans="1:22" ht="30.75" customHeight="1" x14ac:dyDescent="0.25">
      <c r="A555" s="25">
        <v>544</v>
      </c>
      <c r="B555" s="23"/>
      <c r="C555" s="14" t="s">
        <v>556</v>
      </c>
      <c r="D555" s="23"/>
      <c r="E555" s="84">
        <v>26</v>
      </c>
      <c r="F555" s="23" t="s">
        <v>37</v>
      </c>
      <c r="G555" s="165">
        <v>360</v>
      </c>
      <c r="H555" s="165">
        <v>9360</v>
      </c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56"/>
    </row>
    <row r="556" spans="1:22" ht="28.5" x14ac:dyDescent="0.25">
      <c r="A556" s="25">
        <v>545</v>
      </c>
      <c r="B556" s="23"/>
      <c r="C556" s="14" t="s">
        <v>557</v>
      </c>
      <c r="D556" s="23"/>
      <c r="E556" s="84">
        <v>26</v>
      </c>
      <c r="F556" s="23" t="s">
        <v>37</v>
      </c>
      <c r="G556" s="165">
        <v>540</v>
      </c>
      <c r="H556" s="165">
        <v>14040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56"/>
    </row>
    <row r="557" spans="1:22" ht="42.75" x14ac:dyDescent="0.25">
      <c r="A557" s="25">
        <v>546</v>
      </c>
      <c r="B557" s="23"/>
      <c r="C557" s="14" t="s">
        <v>558</v>
      </c>
      <c r="D557" s="23"/>
      <c r="E557" s="84">
        <v>26</v>
      </c>
      <c r="F557" s="23" t="s">
        <v>37</v>
      </c>
      <c r="G557" s="165">
        <v>360</v>
      </c>
      <c r="H557" s="165">
        <v>9360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56"/>
    </row>
    <row r="558" spans="1:22" x14ac:dyDescent="0.25">
      <c r="A558" s="25">
        <v>547</v>
      </c>
      <c r="B558" s="23"/>
      <c r="C558" s="14" t="s">
        <v>644</v>
      </c>
      <c r="D558" s="23"/>
      <c r="E558" s="84">
        <v>1</v>
      </c>
      <c r="F558" s="23" t="s">
        <v>407</v>
      </c>
      <c r="G558" s="165">
        <v>9000</v>
      </c>
      <c r="H558" s="165">
        <v>9000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56"/>
    </row>
    <row r="559" spans="1:22" ht="28.5" x14ac:dyDescent="0.25">
      <c r="A559" s="25">
        <v>548</v>
      </c>
      <c r="B559" s="23"/>
      <c r="C559" s="14" t="s">
        <v>560</v>
      </c>
      <c r="D559" s="23"/>
      <c r="E559" s="84">
        <v>2</v>
      </c>
      <c r="F559" s="23" t="s">
        <v>37</v>
      </c>
      <c r="G559" s="165">
        <v>6000</v>
      </c>
      <c r="H559" s="165">
        <v>12000</v>
      </c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56"/>
    </row>
    <row r="560" spans="1:22" x14ac:dyDescent="0.25">
      <c r="A560" s="25">
        <v>549</v>
      </c>
      <c r="B560" s="23"/>
      <c r="C560" s="14" t="s">
        <v>551</v>
      </c>
      <c r="D560" s="23"/>
      <c r="E560" s="84">
        <v>2</v>
      </c>
      <c r="F560" s="23" t="s">
        <v>37</v>
      </c>
      <c r="G560" s="165">
        <v>2500</v>
      </c>
      <c r="H560" s="165">
        <v>5000</v>
      </c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56"/>
    </row>
    <row r="561" spans="1:22" ht="28.5" x14ac:dyDescent="0.25">
      <c r="A561" s="25">
        <v>550</v>
      </c>
      <c r="B561" s="23"/>
      <c r="C561" s="14" t="s">
        <v>553</v>
      </c>
      <c r="D561" s="23"/>
      <c r="E561" s="84">
        <v>2</v>
      </c>
      <c r="F561" s="23" t="s">
        <v>37</v>
      </c>
      <c r="G561" s="165">
        <v>250</v>
      </c>
      <c r="H561" s="165">
        <v>500</v>
      </c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56"/>
    </row>
    <row r="562" spans="1:22" x14ac:dyDescent="0.25">
      <c r="A562" s="25">
        <v>551</v>
      </c>
      <c r="B562" s="23"/>
      <c r="C562" s="14" t="s">
        <v>587</v>
      </c>
      <c r="D562" s="23"/>
      <c r="E562" s="84">
        <v>20</v>
      </c>
      <c r="F562" s="23" t="s">
        <v>152</v>
      </c>
      <c r="G562" s="165">
        <v>50</v>
      </c>
      <c r="H562" s="165">
        <v>1000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56"/>
    </row>
    <row r="563" spans="1:22" x14ac:dyDescent="0.25">
      <c r="A563" s="25">
        <v>552</v>
      </c>
      <c r="B563" s="23"/>
      <c r="C563" s="14" t="s">
        <v>625</v>
      </c>
      <c r="D563" s="23"/>
      <c r="E563" s="84">
        <v>20</v>
      </c>
      <c r="F563" s="23" t="s">
        <v>152</v>
      </c>
      <c r="G563" s="165">
        <v>25</v>
      </c>
      <c r="H563" s="165">
        <v>500</v>
      </c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56"/>
    </row>
    <row r="564" spans="1:22" x14ac:dyDescent="0.25">
      <c r="A564" s="25">
        <v>553</v>
      </c>
      <c r="B564" s="23"/>
      <c r="C564" s="14" t="s">
        <v>562</v>
      </c>
      <c r="D564" s="23"/>
      <c r="E564" s="84">
        <v>20</v>
      </c>
      <c r="F564" s="23" t="s">
        <v>152</v>
      </c>
      <c r="G564" s="165">
        <v>55</v>
      </c>
      <c r="H564" s="165">
        <v>1100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56"/>
    </row>
    <row r="565" spans="1:22" x14ac:dyDescent="0.25">
      <c r="A565" s="25">
        <v>554</v>
      </c>
      <c r="B565" s="23"/>
      <c r="C565" s="14" t="s">
        <v>563</v>
      </c>
      <c r="D565" s="23"/>
      <c r="E565" s="84">
        <v>20</v>
      </c>
      <c r="F565" s="23" t="s">
        <v>152</v>
      </c>
      <c r="G565" s="165">
        <v>35</v>
      </c>
      <c r="H565" s="165">
        <v>700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56"/>
    </row>
    <row r="566" spans="1:22" x14ac:dyDescent="0.25">
      <c r="A566" s="25">
        <v>555</v>
      </c>
      <c r="B566" s="23"/>
      <c r="C566" s="14" t="s">
        <v>626</v>
      </c>
      <c r="D566" s="23"/>
      <c r="E566" s="84">
        <v>20</v>
      </c>
      <c r="F566" s="23" t="s">
        <v>152</v>
      </c>
      <c r="G566" s="165">
        <v>45</v>
      </c>
      <c r="H566" s="165">
        <v>900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56"/>
    </row>
    <row r="567" spans="1:22" x14ac:dyDescent="0.25">
      <c r="A567" s="25">
        <v>556</v>
      </c>
      <c r="B567" s="23"/>
      <c r="C567" s="14" t="s">
        <v>645</v>
      </c>
      <c r="D567" s="23"/>
      <c r="E567" s="84">
        <v>1</v>
      </c>
      <c r="F567" s="23" t="s">
        <v>145</v>
      </c>
      <c r="G567" s="165">
        <v>850</v>
      </c>
      <c r="H567" s="165">
        <v>850</v>
      </c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56"/>
    </row>
    <row r="568" spans="1:22" x14ac:dyDescent="0.25">
      <c r="A568" s="25">
        <v>557</v>
      </c>
      <c r="B568" s="23"/>
      <c r="C568" s="14" t="s">
        <v>564</v>
      </c>
      <c r="D568" s="23"/>
      <c r="E568" s="84">
        <v>3</v>
      </c>
      <c r="F568" s="23" t="s">
        <v>309</v>
      </c>
      <c r="G568" s="165">
        <v>150</v>
      </c>
      <c r="H568" s="165">
        <v>450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56"/>
    </row>
    <row r="569" spans="1:22" x14ac:dyDescent="0.25">
      <c r="A569" s="25">
        <v>558</v>
      </c>
      <c r="B569" s="23"/>
      <c r="C569" s="14" t="s">
        <v>566</v>
      </c>
      <c r="D569" s="23"/>
      <c r="E569" s="84">
        <v>2</v>
      </c>
      <c r="F569" s="23" t="s">
        <v>567</v>
      </c>
      <c r="G569" s="165">
        <v>1375</v>
      </c>
      <c r="H569" s="165">
        <v>2750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56"/>
    </row>
    <row r="570" spans="1:22" x14ac:dyDescent="0.25">
      <c r="A570" s="25">
        <v>559</v>
      </c>
      <c r="B570" s="23"/>
      <c r="C570" s="14" t="s">
        <v>568</v>
      </c>
      <c r="D570" s="23"/>
      <c r="E570" s="84">
        <v>1</v>
      </c>
      <c r="F570" s="23" t="s">
        <v>262</v>
      </c>
      <c r="G570" s="165">
        <v>1475</v>
      </c>
      <c r="H570" s="165">
        <v>1475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56"/>
    </row>
    <row r="571" spans="1:22" x14ac:dyDescent="0.25">
      <c r="A571" s="25">
        <v>560</v>
      </c>
      <c r="B571" s="23"/>
      <c r="C571" s="14" t="s">
        <v>569</v>
      </c>
      <c r="D571" s="23"/>
      <c r="E571" s="84">
        <v>2</v>
      </c>
      <c r="F571" s="23" t="s">
        <v>567</v>
      </c>
      <c r="G571" s="165">
        <v>285</v>
      </c>
      <c r="H571" s="165">
        <v>570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56"/>
    </row>
    <row r="572" spans="1:22" x14ac:dyDescent="0.25">
      <c r="A572" s="25">
        <v>561</v>
      </c>
      <c r="B572" s="23"/>
      <c r="C572" s="14" t="s">
        <v>570</v>
      </c>
      <c r="D572" s="23"/>
      <c r="E572" s="84">
        <v>1</v>
      </c>
      <c r="F572" s="23" t="s">
        <v>128</v>
      </c>
      <c r="G572" s="165">
        <v>1600</v>
      </c>
      <c r="H572" s="165">
        <v>1600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56"/>
    </row>
    <row r="573" spans="1:22" x14ac:dyDescent="0.25">
      <c r="A573" s="25">
        <v>562</v>
      </c>
      <c r="B573" s="23"/>
      <c r="C573" s="14" t="s">
        <v>572</v>
      </c>
      <c r="D573" s="23"/>
      <c r="E573" s="84">
        <v>3</v>
      </c>
      <c r="F573" s="23" t="s">
        <v>309</v>
      </c>
      <c r="G573" s="165">
        <v>285</v>
      </c>
      <c r="H573" s="165">
        <v>855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56"/>
    </row>
    <row r="574" spans="1:22" x14ac:dyDescent="0.25">
      <c r="A574" s="25">
        <v>563</v>
      </c>
      <c r="B574" s="23"/>
      <c r="C574" s="14" t="s">
        <v>573</v>
      </c>
      <c r="D574" s="23"/>
      <c r="E574" s="84">
        <v>1</v>
      </c>
      <c r="F574" s="23" t="s">
        <v>181</v>
      </c>
      <c r="G574" s="165">
        <v>650</v>
      </c>
      <c r="H574" s="165">
        <v>650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56"/>
    </row>
    <row r="575" spans="1:22" x14ac:dyDescent="0.25">
      <c r="A575" s="25">
        <v>564</v>
      </c>
      <c r="B575" s="23"/>
      <c r="C575" s="14" t="s">
        <v>577</v>
      </c>
      <c r="D575" s="23"/>
      <c r="E575" s="84">
        <v>1</v>
      </c>
      <c r="F575" s="23" t="s">
        <v>181</v>
      </c>
      <c r="G575" s="165">
        <v>550</v>
      </c>
      <c r="H575" s="165">
        <v>550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56"/>
    </row>
    <row r="576" spans="1:22" ht="28.5" x14ac:dyDescent="0.25">
      <c r="A576" s="25">
        <v>565</v>
      </c>
      <c r="B576" s="23"/>
      <c r="C576" s="14" t="s">
        <v>646</v>
      </c>
      <c r="D576" s="23"/>
      <c r="E576" s="84">
        <v>1</v>
      </c>
      <c r="F576" s="23" t="s">
        <v>145</v>
      </c>
      <c r="G576" s="165">
        <v>3500</v>
      </c>
      <c r="H576" s="165">
        <v>3500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56"/>
    </row>
    <row r="577" spans="1:22" ht="42.75" x14ac:dyDescent="0.25">
      <c r="A577" s="25">
        <v>566</v>
      </c>
      <c r="B577" s="23"/>
      <c r="C577" s="14" t="s">
        <v>633</v>
      </c>
      <c r="D577" s="23"/>
      <c r="E577" s="84">
        <v>4</v>
      </c>
      <c r="F577" s="23" t="s">
        <v>152</v>
      </c>
      <c r="G577" s="165">
        <v>550</v>
      </c>
      <c r="H577" s="165">
        <v>2200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56"/>
    </row>
    <row r="578" spans="1:22" x14ac:dyDescent="0.25">
      <c r="A578" s="25">
        <v>567</v>
      </c>
      <c r="B578" s="23"/>
      <c r="C578" s="14" t="s">
        <v>497</v>
      </c>
      <c r="D578" s="23"/>
      <c r="E578" s="84">
        <v>6</v>
      </c>
      <c r="F578" s="23" t="s">
        <v>358</v>
      </c>
      <c r="G578" s="165">
        <v>15</v>
      </c>
      <c r="H578" s="165">
        <v>90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56"/>
    </row>
    <row r="579" spans="1:22" x14ac:dyDescent="0.25">
      <c r="A579" s="25">
        <v>568</v>
      </c>
      <c r="B579" s="23"/>
      <c r="C579" s="14" t="s">
        <v>504</v>
      </c>
      <c r="D579" s="23"/>
      <c r="E579" s="84">
        <v>10</v>
      </c>
      <c r="F579" s="23" t="s">
        <v>567</v>
      </c>
      <c r="G579" s="165">
        <v>250</v>
      </c>
      <c r="H579" s="165">
        <v>2500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56"/>
    </row>
    <row r="580" spans="1:22" x14ac:dyDescent="0.25">
      <c r="A580" s="25">
        <v>569</v>
      </c>
      <c r="B580" s="23"/>
      <c r="C580" s="14" t="s">
        <v>580</v>
      </c>
      <c r="D580" s="23"/>
      <c r="E580" s="84">
        <v>5</v>
      </c>
      <c r="F580" s="23" t="s">
        <v>581</v>
      </c>
      <c r="G580" s="165">
        <v>70</v>
      </c>
      <c r="H580" s="165">
        <v>350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56"/>
    </row>
    <row r="581" spans="1:22" x14ac:dyDescent="0.25">
      <c r="A581" s="25">
        <v>570</v>
      </c>
      <c r="B581" s="23"/>
      <c r="C581" s="14" t="s">
        <v>582</v>
      </c>
      <c r="D581" s="23"/>
      <c r="E581" s="84">
        <v>3</v>
      </c>
      <c r="F581" s="23" t="s">
        <v>581</v>
      </c>
      <c r="G581" s="165">
        <v>300</v>
      </c>
      <c r="H581" s="165">
        <v>900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56"/>
    </row>
    <row r="582" spans="1:22" x14ac:dyDescent="0.25">
      <c r="A582" s="25">
        <v>571</v>
      </c>
      <c r="B582" s="23"/>
      <c r="C582" s="14" t="s">
        <v>383</v>
      </c>
      <c r="D582" s="23"/>
      <c r="E582" s="84">
        <v>1</v>
      </c>
      <c r="F582" s="23" t="s">
        <v>262</v>
      </c>
      <c r="G582" s="165">
        <v>100</v>
      </c>
      <c r="H582" s="165">
        <v>100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56"/>
    </row>
    <row r="583" spans="1:22" x14ac:dyDescent="0.25">
      <c r="A583" s="25">
        <v>572</v>
      </c>
      <c r="B583" s="23"/>
      <c r="C583" s="14" t="s">
        <v>585</v>
      </c>
      <c r="D583" s="23"/>
      <c r="E583" s="84">
        <v>5</v>
      </c>
      <c r="F583" s="23" t="s">
        <v>309</v>
      </c>
      <c r="G583" s="165">
        <v>170</v>
      </c>
      <c r="H583" s="165">
        <v>850</v>
      </c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56"/>
    </row>
    <row r="584" spans="1:22" x14ac:dyDescent="0.25">
      <c r="A584" s="25">
        <v>573</v>
      </c>
      <c r="B584" s="23"/>
      <c r="C584" s="14" t="s">
        <v>586</v>
      </c>
      <c r="D584" s="23"/>
      <c r="E584" s="84">
        <v>5</v>
      </c>
      <c r="F584" s="23" t="s">
        <v>152</v>
      </c>
      <c r="G584" s="165">
        <v>50</v>
      </c>
      <c r="H584" s="165">
        <v>250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56"/>
    </row>
    <row r="585" spans="1:22" x14ac:dyDescent="0.25">
      <c r="A585" s="25">
        <v>574</v>
      </c>
      <c r="B585" s="23"/>
      <c r="C585" s="14" t="s">
        <v>588</v>
      </c>
      <c r="D585" s="23"/>
      <c r="E585" s="84">
        <v>20</v>
      </c>
      <c r="F585" s="23" t="s">
        <v>152</v>
      </c>
      <c r="G585" s="165">
        <v>45</v>
      </c>
      <c r="H585" s="165">
        <v>900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56"/>
    </row>
    <row r="586" spans="1:22" x14ac:dyDescent="0.25">
      <c r="A586" s="25">
        <v>575</v>
      </c>
      <c r="B586" s="23"/>
      <c r="C586" s="14" t="s">
        <v>591</v>
      </c>
      <c r="D586" s="23"/>
      <c r="E586" s="84">
        <v>1</v>
      </c>
      <c r="F586" s="23" t="s">
        <v>145</v>
      </c>
      <c r="G586" s="165">
        <v>310.5</v>
      </c>
      <c r="H586" s="165">
        <v>310.5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56"/>
    </row>
    <row r="587" spans="1:22" x14ac:dyDescent="0.25">
      <c r="A587" s="25">
        <v>576</v>
      </c>
      <c r="B587" s="23"/>
      <c r="C587" s="14" t="s">
        <v>592</v>
      </c>
      <c r="D587" s="23"/>
      <c r="E587" s="84">
        <v>2</v>
      </c>
      <c r="F587" s="23" t="s">
        <v>152</v>
      </c>
      <c r="G587" s="165">
        <v>249</v>
      </c>
      <c r="H587" s="165">
        <v>498</v>
      </c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56"/>
    </row>
    <row r="588" spans="1:22" x14ac:dyDescent="0.25">
      <c r="A588" s="25">
        <v>577</v>
      </c>
      <c r="B588" s="23"/>
      <c r="C588" s="14" t="s">
        <v>594</v>
      </c>
      <c r="D588" s="23"/>
      <c r="E588" s="84">
        <v>2</v>
      </c>
      <c r="F588" s="23" t="s">
        <v>152</v>
      </c>
      <c r="G588" s="165">
        <v>100</v>
      </c>
      <c r="H588" s="165">
        <v>200</v>
      </c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56"/>
    </row>
    <row r="589" spans="1:22" x14ac:dyDescent="0.25">
      <c r="A589" s="25">
        <v>578</v>
      </c>
      <c r="B589" s="23"/>
      <c r="C589" s="14" t="s">
        <v>593</v>
      </c>
      <c r="D589" s="23"/>
      <c r="E589" s="84">
        <v>5</v>
      </c>
      <c r="F589" s="23" t="s">
        <v>152</v>
      </c>
      <c r="G589" s="165">
        <v>200</v>
      </c>
      <c r="H589" s="165">
        <v>1000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56"/>
    </row>
    <row r="590" spans="1:22" x14ac:dyDescent="0.25">
      <c r="A590" s="25">
        <v>579</v>
      </c>
      <c r="B590" s="23"/>
      <c r="C590" s="14"/>
      <c r="D590" s="23"/>
      <c r="E590" s="84"/>
      <c r="F590" s="23"/>
      <c r="G590" s="165"/>
      <c r="H590" s="165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56"/>
    </row>
    <row r="591" spans="1:22" ht="30" x14ac:dyDescent="0.25">
      <c r="A591" s="25">
        <v>580</v>
      </c>
      <c r="B591" s="89" t="s">
        <v>61</v>
      </c>
      <c r="C591" s="90" t="s">
        <v>49</v>
      </c>
      <c r="D591" s="89" t="s">
        <v>27</v>
      </c>
      <c r="E591" s="89"/>
      <c r="F591" s="89"/>
      <c r="G591" s="163"/>
      <c r="H591" s="167">
        <v>266000</v>
      </c>
      <c r="I591" s="89" t="s">
        <v>52</v>
      </c>
      <c r="J591" s="60"/>
      <c r="K591" s="60">
        <v>1</v>
      </c>
      <c r="L591" s="60"/>
      <c r="M591" s="60">
        <v>1</v>
      </c>
      <c r="N591" s="60"/>
      <c r="O591" s="60"/>
      <c r="P591" s="60">
        <v>1</v>
      </c>
      <c r="Q591" s="60"/>
      <c r="R591" s="60"/>
      <c r="S591" s="60"/>
      <c r="T591" s="60"/>
      <c r="U591" s="60"/>
      <c r="V591" s="56"/>
    </row>
    <row r="592" spans="1:22" x14ac:dyDescent="0.25">
      <c r="A592" s="25">
        <v>581</v>
      </c>
      <c r="B592" s="23"/>
      <c r="C592" s="14" t="s">
        <v>505</v>
      </c>
      <c r="D592" s="23"/>
      <c r="E592" s="84"/>
      <c r="F592" s="23"/>
      <c r="G592" s="165"/>
      <c r="H592" s="165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56"/>
    </row>
    <row r="593" spans="1:22" x14ac:dyDescent="0.25">
      <c r="A593" s="25">
        <v>582</v>
      </c>
      <c r="B593" s="23"/>
      <c r="C593" s="9" t="s">
        <v>354</v>
      </c>
      <c r="D593" s="23"/>
      <c r="E593" s="99">
        <f>90*4</f>
        <v>360</v>
      </c>
      <c r="F593" s="23" t="s">
        <v>37</v>
      </c>
      <c r="G593" s="46">
        <v>120</v>
      </c>
      <c r="H593" s="165">
        <f>E593*G593</f>
        <v>43200</v>
      </c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56"/>
    </row>
    <row r="594" spans="1:22" x14ac:dyDescent="0.25">
      <c r="A594" s="25">
        <v>583</v>
      </c>
      <c r="B594" s="23"/>
      <c r="C594" s="9" t="s">
        <v>247</v>
      </c>
      <c r="D594" s="23"/>
      <c r="E594" s="99">
        <f t="shared" ref="E594:E596" si="25">90*4</f>
        <v>360</v>
      </c>
      <c r="F594" s="23" t="s">
        <v>37</v>
      </c>
      <c r="G594" s="46">
        <v>180</v>
      </c>
      <c r="H594" s="165">
        <f t="shared" ref="H594:H596" si="26">E594*G594</f>
        <v>64800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56"/>
    </row>
    <row r="595" spans="1:22" x14ac:dyDescent="0.25">
      <c r="A595" s="25">
        <v>584</v>
      </c>
      <c r="B595" s="23"/>
      <c r="C595" s="9" t="s">
        <v>302</v>
      </c>
      <c r="D595" s="23"/>
      <c r="E595" s="99">
        <f t="shared" si="25"/>
        <v>360</v>
      </c>
      <c r="F595" s="23" t="s">
        <v>37</v>
      </c>
      <c r="G595" s="46">
        <v>120</v>
      </c>
      <c r="H595" s="165">
        <f t="shared" si="26"/>
        <v>43200</v>
      </c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56"/>
    </row>
    <row r="596" spans="1:22" x14ac:dyDescent="0.25">
      <c r="A596" s="25">
        <v>585</v>
      </c>
      <c r="B596" s="23"/>
      <c r="C596" s="9" t="s">
        <v>502</v>
      </c>
      <c r="D596" s="23"/>
      <c r="E596" s="99">
        <f t="shared" si="25"/>
        <v>360</v>
      </c>
      <c r="F596" s="23" t="s">
        <v>37</v>
      </c>
      <c r="G596" s="46">
        <v>180</v>
      </c>
      <c r="H596" s="165">
        <f t="shared" si="26"/>
        <v>64800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56"/>
    </row>
    <row r="597" spans="1:22" x14ac:dyDescent="0.25">
      <c r="A597" s="25">
        <v>586</v>
      </c>
      <c r="B597" s="23"/>
      <c r="C597" s="14" t="s">
        <v>83</v>
      </c>
      <c r="D597" s="23"/>
      <c r="E597" s="84"/>
      <c r="F597" s="23"/>
      <c r="G597" s="165"/>
      <c r="H597" s="165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56"/>
    </row>
    <row r="598" spans="1:22" x14ac:dyDescent="0.25">
      <c r="A598" s="25">
        <v>587</v>
      </c>
      <c r="B598" s="23"/>
      <c r="C598" s="9" t="s">
        <v>288</v>
      </c>
      <c r="D598" s="23"/>
      <c r="E598" s="99">
        <v>10</v>
      </c>
      <c r="F598" s="23" t="s">
        <v>457</v>
      </c>
      <c r="G598" s="46">
        <v>350</v>
      </c>
      <c r="H598" s="165">
        <v>3500</v>
      </c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56"/>
    </row>
    <row r="599" spans="1:22" x14ac:dyDescent="0.25">
      <c r="A599" s="25">
        <v>588</v>
      </c>
      <c r="B599" s="23"/>
      <c r="C599" s="9" t="s">
        <v>277</v>
      </c>
      <c r="D599" s="23"/>
      <c r="E599" s="99">
        <v>15</v>
      </c>
      <c r="F599" s="23" t="s">
        <v>152</v>
      </c>
      <c r="G599" s="46">
        <v>352</v>
      </c>
      <c r="H599" s="165">
        <f t="shared" ref="H599:H607" si="27">E599*G599</f>
        <v>5280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56"/>
    </row>
    <row r="600" spans="1:22" x14ac:dyDescent="0.25">
      <c r="A600" s="25">
        <v>589</v>
      </c>
      <c r="B600" s="23"/>
      <c r="C600" s="9" t="s">
        <v>503</v>
      </c>
      <c r="D600" s="23"/>
      <c r="E600" s="99">
        <v>15</v>
      </c>
      <c r="F600" s="23" t="s">
        <v>152</v>
      </c>
      <c r="G600" s="46">
        <v>120</v>
      </c>
      <c r="H600" s="165">
        <f t="shared" si="27"/>
        <v>1800</v>
      </c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56"/>
    </row>
    <row r="601" spans="1:22" x14ac:dyDescent="0.25">
      <c r="A601" s="25">
        <v>590</v>
      </c>
      <c r="B601" s="23"/>
      <c r="C601" s="9" t="s">
        <v>278</v>
      </c>
      <c r="D601" s="23"/>
      <c r="E601" s="99">
        <v>20</v>
      </c>
      <c r="F601" s="23" t="s">
        <v>152</v>
      </c>
      <c r="G601" s="46">
        <v>149</v>
      </c>
      <c r="H601" s="165">
        <f t="shared" si="27"/>
        <v>2980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56"/>
    </row>
    <row r="602" spans="1:22" x14ac:dyDescent="0.25">
      <c r="A602" s="25">
        <v>591</v>
      </c>
      <c r="B602" s="23"/>
      <c r="C602" s="4" t="s">
        <v>364</v>
      </c>
      <c r="D602" s="23"/>
      <c r="E602" s="99">
        <v>15</v>
      </c>
      <c r="F602" s="23" t="s">
        <v>152</v>
      </c>
      <c r="G602" s="46">
        <v>350</v>
      </c>
      <c r="H602" s="165">
        <f t="shared" si="27"/>
        <v>5250</v>
      </c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56"/>
    </row>
    <row r="603" spans="1:22" x14ac:dyDescent="0.25">
      <c r="A603" s="25">
        <v>592</v>
      </c>
      <c r="B603" s="23"/>
      <c r="C603" s="4" t="s">
        <v>365</v>
      </c>
      <c r="D603" s="23"/>
      <c r="E603" s="99">
        <v>15</v>
      </c>
      <c r="F603" s="23" t="s">
        <v>152</v>
      </c>
      <c r="G603" s="46">
        <v>350</v>
      </c>
      <c r="H603" s="165">
        <f t="shared" si="27"/>
        <v>5250</v>
      </c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56"/>
    </row>
    <row r="604" spans="1:22" x14ac:dyDescent="0.25">
      <c r="A604" s="25">
        <v>593</v>
      </c>
      <c r="B604" s="23"/>
      <c r="C604" s="4" t="s">
        <v>366</v>
      </c>
      <c r="D604" s="23"/>
      <c r="E604" s="99">
        <v>15</v>
      </c>
      <c r="F604" s="23" t="s">
        <v>152</v>
      </c>
      <c r="G604" s="46">
        <v>350</v>
      </c>
      <c r="H604" s="165">
        <f t="shared" si="27"/>
        <v>5250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56"/>
    </row>
    <row r="605" spans="1:22" x14ac:dyDescent="0.25">
      <c r="A605" s="25">
        <v>594</v>
      </c>
      <c r="B605" s="23"/>
      <c r="C605" s="69" t="s">
        <v>353</v>
      </c>
      <c r="D605" s="23"/>
      <c r="E605" s="99">
        <v>20</v>
      </c>
      <c r="F605" s="23" t="s">
        <v>358</v>
      </c>
      <c r="G605" s="46">
        <v>450</v>
      </c>
      <c r="H605" s="165">
        <f t="shared" si="27"/>
        <v>9000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56"/>
    </row>
    <row r="606" spans="1:22" x14ac:dyDescent="0.25">
      <c r="A606" s="25">
        <v>595</v>
      </c>
      <c r="B606" s="23"/>
      <c r="C606" s="69" t="s">
        <v>255</v>
      </c>
      <c r="D606" s="23"/>
      <c r="E606" s="99">
        <v>30</v>
      </c>
      <c r="F606" s="23" t="s">
        <v>152</v>
      </c>
      <c r="G606" s="46">
        <v>123</v>
      </c>
      <c r="H606" s="165">
        <f t="shared" si="27"/>
        <v>3690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56"/>
    </row>
    <row r="607" spans="1:22" x14ac:dyDescent="0.25">
      <c r="A607" s="25">
        <v>596</v>
      </c>
      <c r="B607" s="23"/>
      <c r="C607" s="69" t="s">
        <v>504</v>
      </c>
      <c r="D607" s="23"/>
      <c r="E607" s="99">
        <v>40</v>
      </c>
      <c r="F607" s="23" t="s">
        <v>152</v>
      </c>
      <c r="G607" s="46">
        <v>200</v>
      </c>
      <c r="H607" s="165">
        <f t="shared" si="27"/>
        <v>8000</v>
      </c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56"/>
    </row>
    <row r="608" spans="1:22" x14ac:dyDescent="0.25">
      <c r="A608" s="25">
        <v>597</v>
      </c>
      <c r="B608" s="23"/>
      <c r="C608" s="14"/>
      <c r="D608" s="23"/>
      <c r="E608" s="84"/>
      <c r="F608" s="23"/>
      <c r="G608" s="165"/>
      <c r="H608" s="165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56"/>
    </row>
    <row r="609" spans="1:22" ht="30" x14ac:dyDescent="0.25">
      <c r="A609" s="25">
        <v>598</v>
      </c>
      <c r="B609" s="89" t="s">
        <v>61</v>
      </c>
      <c r="C609" s="90" t="s">
        <v>46</v>
      </c>
      <c r="D609" s="89" t="s">
        <v>27</v>
      </c>
      <c r="E609" s="89"/>
      <c r="F609" s="89"/>
      <c r="G609" s="163"/>
      <c r="H609" s="167">
        <v>146502</v>
      </c>
      <c r="I609" s="89" t="s">
        <v>52</v>
      </c>
      <c r="J609" s="60"/>
      <c r="K609" s="60"/>
      <c r="L609" s="60"/>
      <c r="M609" s="60">
        <v>1</v>
      </c>
      <c r="N609" s="60"/>
      <c r="O609" s="60"/>
      <c r="P609" s="60"/>
      <c r="Q609" s="60">
        <v>1</v>
      </c>
      <c r="R609" s="60"/>
      <c r="S609" s="60"/>
      <c r="T609" s="60"/>
      <c r="U609" s="60"/>
      <c r="V609" s="56"/>
    </row>
    <row r="610" spans="1:22" x14ac:dyDescent="0.25">
      <c r="A610" s="25">
        <v>599</v>
      </c>
      <c r="B610" s="23"/>
      <c r="C610" s="14" t="s">
        <v>465</v>
      </c>
      <c r="D610" s="23"/>
      <c r="E610" s="84"/>
      <c r="F610" s="23"/>
      <c r="G610" s="165"/>
      <c r="H610" s="165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56"/>
    </row>
    <row r="611" spans="1:22" x14ac:dyDescent="0.25">
      <c r="A611" s="25">
        <v>600</v>
      </c>
      <c r="B611" s="23"/>
      <c r="C611" s="70" t="s">
        <v>492</v>
      </c>
      <c r="D611" s="23"/>
      <c r="E611" s="23">
        <f>25*6</f>
        <v>150</v>
      </c>
      <c r="F611" s="23" t="s">
        <v>37</v>
      </c>
      <c r="G611" s="166">
        <v>120</v>
      </c>
      <c r="H611" s="176">
        <f>G611*E611</f>
        <v>18000</v>
      </c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56"/>
    </row>
    <row r="612" spans="1:22" x14ac:dyDescent="0.25">
      <c r="A612" s="25">
        <v>601</v>
      </c>
      <c r="B612" s="23"/>
      <c r="C612" s="70" t="s">
        <v>493</v>
      </c>
      <c r="D612" s="23"/>
      <c r="E612" s="23">
        <f t="shared" ref="E612:E613" si="28">25*6</f>
        <v>150</v>
      </c>
      <c r="F612" s="23" t="s">
        <v>37</v>
      </c>
      <c r="G612" s="166">
        <v>180</v>
      </c>
      <c r="H612" s="176">
        <f t="shared" ref="H612:H613" si="29">G612*E612</f>
        <v>27000</v>
      </c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56"/>
    </row>
    <row r="613" spans="1:22" x14ac:dyDescent="0.25">
      <c r="A613" s="25">
        <v>602</v>
      </c>
      <c r="B613" s="23"/>
      <c r="C613" s="70" t="s">
        <v>494</v>
      </c>
      <c r="D613" s="23"/>
      <c r="E613" s="23">
        <f t="shared" si="28"/>
        <v>150</v>
      </c>
      <c r="F613" s="23" t="s">
        <v>37</v>
      </c>
      <c r="G613" s="166">
        <v>120</v>
      </c>
      <c r="H613" s="176">
        <f t="shared" si="29"/>
        <v>18000</v>
      </c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56"/>
    </row>
    <row r="614" spans="1:22" x14ac:dyDescent="0.25">
      <c r="A614" s="25">
        <v>603</v>
      </c>
      <c r="B614" s="23"/>
      <c r="C614" s="14" t="s">
        <v>466</v>
      </c>
      <c r="D614" s="23"/>
      <c r="E614" s="84"/>
      <c r="F614" s="23"/>
      <c r="G614" s="165"/>
      <c r="H614" s="165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56"/>
    </row>
    <row r="615" spans="1:22" x14ac:dyDescent="0.25">
      <c r="A615" s="25">
        <v>604</v>
      </c>
      <c r="B615" s="23"/>
      <c r="C615" s="61" t="s">
        <v>479</v>
      </c>
      <c r="D615" s="23"/>
      <c r="E615" s="25">
        <f>2*2</f>
        <v>4</v>
      </c>
      <c r="F615" s="25" t="s">
        <v>357</v>
      </c>
      <c r="G615" s="166">
        <v>230</v>
      </c>
      <c r="H615" s="166">
        <f>G615*E615</f>
        <v>920</v>
      </c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56"/>
    </row>
    <row r="616" spans="1:22" x14ac:dyDescent="0.25">
      <c r="A616" s="25">
        <v>605</v>
      </c>
      <c r="B616" s="23"/>
      <c r="C616" s="61" t="s">
        <v>480</v>
      </c>
      <c r="D616" s="23"/>
      <c r="E616" s="25">
        <f>8*2</f>
        <v>16</v>
      </c>
      <c r="F616" s="25" t="s">
        <v>357</v>
      </c>
      <c r="G616" s="166">
        <v>190</v>
      </c>
      <c r="H616" s="166">
        <f t="shared" ref="H616:H647" si="30">G616*E616</f>
        <v>3040</v>
      </c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56"/>
    </row>
    <row r="617" spans="1:22" x14ac:dyDescent="0.25">
      <c r="A617" s="25">
        <v>606</v>
      </c>
      <c r="B617" s="23"/>
      <c r="C617" s="61" t="s">
        <v>485</v>
      </c>
      <c r="D617" s="23"/>
      <c r="E617" s="25">
        <f>2*2</f>
        <v>4</v>
      </c>
      <c r="F617" s="23" t="s">
        <v>309</v>
      </c>
      <c r="G617" s="166">
        <v>450</v>
      </c>
      <c r="H617" s="166">
        <f t="shared" si="30"/>
        <v>1800</v>
      </c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56"/>
    </row>
    <row r="618" spans="1:22" x14ac:dyDescent="0.25">
      <c r="A618" s="25">
        <v>607</v>
      </c>
      <c r="B618" s="23"/>
      <c r="C618" s="61" t="s">
        <v>307</v>
      </c>
      <c r="D618" s="23"/>
      <c r="E618" s="25">
        <f>8*2</f>
        <v>16</v>
      </c>
      <c r="F618" s="23" t="s">
        <v>309</v>
      </c>
      <c r="G618" s="166">
        <v>350</v>
      </c>
      <c r="H618" s="166">
        <f t="shared" si="30"/>
        <v>5600</v>
      </c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56"/>
    </row>
    <row r="619" spans="1:22" x14ac:dyDescent="0.25">
      <c r="A619" s="25">
        <v>608</v>
      </c>
      <c r="B619" s="23"/>
      <c r="C619" s="61" t="s">
        <v>486</v>
      </c>
      <c r="D619" s="23"/>
      <c r="E619" s="25">
        <f>3*2</f>
        <v>6</v>
      </c>
      <c r="F619" s="25" t="s">
        <v>152</v>
      </c>
      <c r="G619" s="166">
        <v>700</v>
      </c>
      <c r="H619" s="166">
        <f t="shared" si="30"/>
        <v>4200</v>
      </c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56"/>
    </row>
    <row r="620" spans="1:22" x14ac:dyDescent="0.25">
      <c r="A620" s="25">
        <v>609</v>
      </c>
      <c r="B620" s="23"/>
      <c r="C620" s="61" t="s">
        <v>487</v>
      </c>
      <c r="D620" s="23"/>
      <c r="E620" s="25">
        <f>30*2</f>
        <v>60</v>
      </c>
      <c r="F620" s="25" t="s">
        <v>152</v>
      </c>
      <c r="G620" s="166">
        <v>90</v>
      </c>
      <c r="H620" s="166">
        <f t="shared" si="30"/>
        <v>5400</v>
      </c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56"/>
    </row>
    <row r="621" spans="1:22" x14ac:dyDescent="0.25">
      <c r="A621" s="25">
        <v>610</v>
      </c>
      <c r="B621" s="23"/>
      <c r="C621" s="14" t="s">
        <v>488</v>
      </c>
      <c r="D621" s="23"/>
      <c r="E621" s="23">
        <f>5*2</f>
        <v>10</v>
      </c>
      <c r="F621" s="23" t="s">
        <v>152</v>
      </c>
      <c r="G621" s="177">
        <v>650</v>
      </c>
      <c r="H621" s="166">
        <f t="shared" si="30"/>
        <v>6500</v>
      </c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56"/>
    </row>
    <row r="622" spans="1:22" x14ac:dyDescent="0.25">
      <c r="A622" s="25">
        <v>611</v>
      </c>
      <c r="B622" s="23"/>
      <c r="C622" s="11" t="s">
        <v>385</v>
      </c>
      <c r="D622" s="23"/>
      <c r="E622" s="2">
        <f>5*2</f>
        <v>10</v>
      </c>
      <c r="F622" s="2" t="s">
        <v>152</v>
      </c>
      <c r="G622" s="24">
        <v>1050</v>
      </c>
      <c r="H622" s="166">
        <f t="shared" si="30"/>
        <v>10500</v>
      </c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56"/>
    </row>
    <row r="623" spans="1:22" x14ac:dyDescent="0.25">
      <c r="A623" s="25">
        <v>612</v>
      </c>
      <c r="B623" s="23"/>
      <c r="C623" s="11" t="s">
        <v>274</v>
      </c>
      <c r="D623" s="23"/>
      <c r="E623" s="2">
        <f>15*2</f>
        <v>30</v>
      </c>
      <c r="F623" s="2" t="s">
        <v>152</v>
      </c>
      <c r="G623" s="24">
        <v>84</v>
      </c>
      <c r="H623" s="166">
        <f t="shared" si="30"/>
        <v>2520</v>
      </c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56"/>
    </row>
    <row r="624" spans="1:22" x14ac:dyDescent="0.25">
      <c r="A624" s="25">
        <v>613</v>
      </c>
      <c r="B624" s="23"/>
      <c r="C624" s="11" t="s">
        <v>489</v>
      </c>
      <c r="D624" s="23"/>
      <c r="E624" s="2">
        <f>3*2</f>
        <v>6</v>
      </c>
      <c r="F624" s="2" t="s">
        <v>152</v>
      </c>
      <c r="G624" s="24">
        <v>95</v>
      </c>
      <c r="H624" s="166">
        <f t="shared" si="30"/>
        <v>570</v>
      </c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56"/>
    </row>
    <row r="625" spans="1:22" x14ac:dyDescent="0.25">
      <c r="A625" s="25">
        <v>614</v>
      </c>
      <c r="B625" s="23"/>
      <c r="C625" s="11" t="s">
        <v>490</v>
      </c>
      <c r="D625" s="23"/>
      <c r="E625" s="2">
        <f>3*2</f>
        <v>6</v>
      </c>
      <c r="F625" s="23" t="s">
        <v>567</v>
      </c>
      <c r="G625" s="24">
        <v>825</v>
      </c>
      <c r="H625" s="166">
        <f t="shared" si="30"/>
        <v>4950</v>
      </c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56"/>
    </row>
    <row r="626" spans="1:22" x14ac:dyDescent="0.25">
      <c r="A626" s="25">
        <v>615</v>
      </c>
      <c r="B626" s="23"/>
      <c r="C626" s="11" t="s">
        <v>491</v>
      </c>
      <c r="D626" s="23"/>
      <c r="E626" s="2">
        <f>3*2</f>
        <v>6</v>
      </c>
      <c r="F626" s="23" t="s">
        <v>567</v>
      </c>
      <c r="G626" s="24">
        <v>830</v>
      </c>
      <c r="H626" s="166">
        <f t="shared" si="30"/>
        <v>4980</v>
      </c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56"/>
    </row>
    <row r="627" spans="1:22" x14ac:dyDescent="0.25">
      <c r="A627" s="25">
        <v>616</v>
      </c>
      <c r="B627" s="23"/>
      <c r="C627" s="14" t="s">
        <v>467</v>
      </c>
      <c r="D627" s="23"/>
      <c r="E627" s="84"/>
      <c r="F627" s="23"/>
      <c r="G627" s="165"/>
      <c r="H627" s="166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56"/>
    </row>
    <row r="628" spans="1:22" x14ac:dyDescent="0.25">
      <c r="A628" s="25">
        <v>617</v>
      </c>
      <c r="B628" s="23"/>
      <c r="C628" s="61" t="s">
        <v>481</v>
      </c>
      <c r="D628" s="23"/>
      <c r="E628" s="25">
        <f>2*2</f>
        <v>4</v>
      </c>
      <c r="F628" s="8" t="s">
        <v>291</v>
      </c>
      <c r="G628" s="166">
        <v>400</v>
      </c>
      <c r="H628" s="166">
        <f t="shared" si="30"/>
        <v>1600</v>
      </c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56"/>
    </row>
    <row r="629" spans="1:22" x14ac:dyDescent="0.25">
      <c r="A629" s="25">
        <v>618</v>
      </c>
      <c r="B629" s="23"/>
      <c r="C629" s="61" t="s">
        <v>482</v>
      </c>
      <c r="D629" s="23"/>
      <c r="E629" s="25">
        <f t="shared" ref="E629:E631" si="31">2*2</f>
        <v>4</v>
      </c>
      <c r="F629" s="8" t="s">
        <v>291</v>
      </c>
      <c r="G629" s="166">
        <v>400</v>
      </c>
      <c r="H629" s="166">
        <f t="shared" si="30"/>
        <v>1600</v>
      </c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56"/>
    </row>
    <row r="630" spans="1:22" x14ac:dyDescent="0.25">
      <c r="A630" s="25">
        <v>619</v>
      </c>
      <c r="B630" s="23"/>
      <c r="C630" s="61" t="s">
        <v>483</v>
      </c>
      <c r="D630" s="23"/>
      <c r="E630" s="25">
        <f t="shared" si="31"/>
        <v>4</v>
      </c>
      <c r="F630" s="8" t="s">
        <v>291</v>
      </c>
      <c r="G630" s="166">
        <v>400</v>
      </c>
      <c r="H630" s="166">
        <f t="shared" si="30"/>
        <v>1600</v>
      </c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56"/>
    </row>
    <row r="631" spans="1:22" x14ac:dyDescent="0.25">
      <c r="A631" s="25">
        <v>620</v>
      </c>
      <c r="B631" s="23"/>
      <c r="C631" s="61" t="s">
        <v>484</v>
      </c>
      <c r="D631" s="23"/>
      <c r="E631" s="25">
        <f t="shared" si="31"/>
        <v>4</v>
      </c>
      <c r="F631" s="8" t="s">
        <v>291</v>
      </c>
      <c r="G631" s="166">
        <v>400</v>
      </c>
      <c r="H631" s="166">
        <f t="shared" si="30"/>
        <v>1600</v>
      </c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56"/>
    </row>
    <row r="632" spans="1:22" x14ac:dyDescent="0.25">
      <c r="A632" s="25">
        <v>621</v>
      </c>
      <c r="B632" s="23"/>
      <c r="C632" s="14" t="s">
        <v>501</v>
      </c>
      <c r="D632" s="8"/>
      <c r="E632" s="8"/>
      <c r="F632" s="8"/>
      <c r="G632" s="178"/>
      <c r="H632" s="166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56"/>
    </row>
    <row r="633" spans="1:22" x14ac:dyDescent="0.25">
      <c r="A633" s="25">
        <v>622</v>
      </c>
      <c r="B633" s="23"/>
      <c r="C633" s="11" t="s">
        <v>389</v>
      </c>
      <c r="D633" s="23"/>
      <c r="E633" s="2">
        <f>6*2</f>
        <v>12</v>
      </c>
      <c r="F633" s="23" t="s">
        <v>309</v>
      </c>
      <c r="G633" s="24">
        <v>195</v>
      </c>
      <c r="H633" s="166">
        <f t="shared" si="30"/>
        <v>2340</v>
      </c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56"/>
    </row>
    <row r="634" spans="1:22" x14ac:dyDescent="0.25">
      <c r="A634" s="25">
        <v>623</v>
      </c>
      <c r="B634" s="23"/>
      <c r="C634" s="11" t="s">
        <v>495</v>
      </c>
      <c r="D634" s="23"/>
      <c r="E634" s="2">
        <f>2*2</f>
        <v>4</v>
      </c>
      <c r="F634" s="23" t="s">
        <v>309</v>
      </c>
      <c r="G634" s="24">
        <v>670</v>
      </c>
      <c r="H634" s="166">
        <f t="shared" si="30"/>
        <v>2680</v>
      </c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56"/>
    </row>
    <row r="635" spans="1:22" x14ac:dyDescent="0.25">
      <c r="A635" s="25">
        <v>624</v>
      </c>
      <c r="B635" s="23"/>
      <c r="C635" s="11" t="s">
        <v>496</v>
      </c>
      <c r="D635" s="23"/>
      <c r="E635" s="2">
        <f>2*2</f>
        <v>4</v>
      </c>
      <c r="F635" s="23" t="s">
        <v>309</v>
      </c>
      <c r="G635" s="24">
        <v>250</v>
      </c>
      <c r="H635" s="166">
        <f t="shared" si="30"/>
        <v>1000</v>
      </c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56"/>
    </row>
    <row r="636" spans="1:22" x14ac:dyDescent="0.25">
      <c r="A636" s="25">
        <v>625</v>
      </c>
      <c r="B636" s="23"/>
      <c r="C636" s="11" t="s">
        <v>497</v>
      </c>
      <c r="D636" s="23"/>
      <c r="E636" s="2">
        <f>6*2</f>
        <v>12</v>
      </c>
      <c r="F636" s="23" t="s">
        <v>567</v>
      </c>
      <c r="G636" s="24">
        <v>476</v>
      </c>
      <c r="H636" s="166">
        <f t="shared" si="30"/>
        <v>5712</v>
      </c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56"/>
    </row>
    <row r="637" spans="1:22" x14ac:dyDescent="0.25">
      <c r="A637" s="25">
        <v>626</v>
      </c>
      <c r="B637" s="23"/>
      <c r="C637" s="11" t="s">
        <v>391</v>
      </c>
      <c r="D637" s="23"/>
      <c r="E637" s="2">
        <f>5*2</f>
        <v>10</v>
      </c>
      <c r="F637" s="23" t="s">
        <v>309</v>
      </c>
      <c r="G637" s="24">
        <v>160</v>
      </c>
      <c r="H637" s="166">
        <f t="shared" si="30"/>
        <v>1600</v>
      </c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56"/>
    </row>
    <row r="638" spans="1:22" x14ac:dyDescent="0.25">
      <c r="A638" s="25">
        <v>627</v>
      </c>
      <c r="B638" s="23"/>
      <c r="C638" s="11" t="s">
        <v>393</v>
      </c>
      <c r="D638" s="23"/>
      <c r="E638" s="2">
        <f>9*2</f>
        <v>18</v>
      </c>
      <c r="F638" s="23" t="s">
        <v>567</v>
      </c>
      <c r="G638" s="24">
        <v>150</v>
      </c>
      <c r="H638" s="166">
        <f t="shared" si="30"/>
        <v>2700</v>
      </c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56"/>
    </row>
    <row r="639" spans="1:22" x14ac:dyDescent="0.25">
      <c r="A639" s="25">
        <v>628</v>
      </c>
      <c r="B639" s="23"/>
      <c r="C639" s="11" t="s">
        <v>498</v>
      </c>
      <c r="D639" s="23"/>
      <c r="E639" s="2">
        <f>5*2</f>
        <v>10</v>
      </c>
      <c r="F639" s="23" t="s">
        <v>309</v>
      </c>
      <c r="G639" s="24">
        <v>85</v>
      </c>
      <c r="H639" s="166">
        <f t="shared" si="30"/>
        <v>850</v>
      </c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56"/>
    </row>
    <row r="640" spans="1:22" x14ac:dyDescent="0.25">
      <c r="A640" s="25">
        <v>629</v>
      </c>
      <c r="B640" s="23"/>
      <c r="C640" s="11" t="s">
        <v>394</v>
      </c>
      <c r="D640" s="23"/>
      <c r="E640" s="2">
        <f>5*2</f>
        <v>10</v>
      </c>
      <c r="F640" s="23" t="s">
        <v>309</v>
      </c>
      <c r="G640" s="24">
        <v>119</v>
      </c>
      <c r="H640" s="166">
        <f t="shared" si="30"/>
        <v>1190</v>
      </c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56"/>
    </row>
    <row r="641" spans="1:22" x14ac:dyDescent="0.25">
      <c r="A641" s="25">
        <v>630</v>
      </c>
      <c r="B641" s="23"/>
      <c r="C641" s="11" t="s">
        <v>499</v>
      </c>
      <c r="D641" s="23"/>
      <c r="E641" s="2">
        <f>5*2</f>
        <v>10</v>
      </c>
      <c r="F641" s="23" t="s">
        <v>309</v>
      </c>
      <c r="G641" s="24">
        <v>85</v>
      </c>
      <c r="H641" s="166">
        <f t="shared" si="30"/>
        <v>850</v>
      </c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56"/>
    </row>
    <row r="642" spans="1:22" x14ac:dyDescent="0.25">
      <c r="A642" s="25">
        <v>631</v>
      </c>
      <c r="B642" s="23"/>
      <c r="C642" s="11" t="s">
        <v>396</v>
      </c>
      <c r="D642" s="23"/>
      <c r="E642" s="2">
        <f>2*2</f>
        <v>4</v>
      </c>
      <c r="F642" s="23" t="s">
        <v>309</v>
      </c>
      <c r="G642" s="24">
        <v>105</v>
      </c>
      <c r="H642" s="166">
        <f t="shared" si="30"/>
        <v>420</v>
      </c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56"/>
    </row>
    <row r="643" spans="1:22" x14ac:dyDescent="0.25">
      <c r="A643" s="25">
        <v>632</v>
      </c>
      <c r="B643" s="23"/>
      <c r="C643" s="11" t="s">
        <v>397</v>
      </c>
      <c r="D643" s="23"/>
      <c r="E643" s="2">
        <f>5*2</f>
        <v>10</v>
      </c>
      <c r="F643" s="23" t="s">
        <v>309</v>
      </c>
      <c r="G643" s="24">
        <v>117</v>
      </c>
      <c r="H643" s="166">
        <f t="shared" si="30"/>
        <v>1170</v>
      </c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56"/>
    </row>
    <row r="644" spans="1:22" x14ac:dyDescent="0.25">
      <c r="A644" s="25">
        <v>633</v>
      </c>
      <c r="B644" s="23"/>
      <c r="C644" s="11" t="s">
        <v>398</v>
      </c>
      <c r="D644" s="23"/>
      <c r="E644" s="2">
        <f t="shared" ref="E644:E647" si="32">5*2</f>
        <v>10</v>
      </c>
      <c r="F644" s="23" t="s">
        <v>309</v>
      </c>
      <c r="G644" s="24">
        <v>105</v>
      </c>
      <c r="H644" s="166">
        <f t="shared" si="30"/>
        <v>1050</v>
      </c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56"/>
    </row>
    <row r="645" spans="1:22" x14ac:dyDescent="0.25">
      <c r="A645" s="25">
        <v>634</v>
      </c>
      <c r="B645" s="23"/>
      <c r="C645" s="11" t="s">
        <v>399</v>
      </c>
      <c r="D645" s="23"/>
      <c r="E645" s="2">
        <f t="shared" si="32"/>
        <v>10</v>
      </c>
      <c r="F645" s="23" t="s">
        <v>309</v>
      </c>
      <c r="G645" s="24">
        <v>115</v>
      </c>
      <c r="H645" s="166">
        <f t="shared" si="30"/>
        <v>1150</v>
      </c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56"/>
    </row>
    <row r="646" spans="1:22" x14ac:dyDescent="0.25">
      <c r="A646" s="25">
        <v>635</v>
      </c>
      <c r="B646" s="23"/>
      <c r="C646" s="11" t="s">
        <v>400</v>
      </c>
      <c r="D646" s="23"/>
      <c r="E646" s="2">
        <f t="shared" si="32"/>
        <v>10</v>
      </c>
      <c r="F646" s="23" t="s">
        <v>309</v>
      </c>
      <c r="G646" s="24">
        <v>90</v>
      </c>
      <c r="H646" s="166">
        <f t="shared" si="30"/>
        <v>900</v>
      </c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56"/>
    </row>
    <row r="647" spans="1:22" x14ac:dyDescent="0.25">
      <c r="A647" s="25">
        <v>636</v>
      </c>
      <c r="B647" s="23"/>
      <c r="C647" s="11" t="s">
        <v>500</v>
      </c>
      <c r="D647" s="23"/>
      <c r="E647" s="2">
        <f t="shared" si="32"/>
        <v>10</v>
      </c>
      <c r="F647" s="23" t="s">
        <v>309</v>
      </c>
      <c r="G647" s="24">
        <v>251</v>
      </c>
      <c r="H647" s="166">
        <f t="shared" si="30"/>
        <v>2510</v>
      </c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56"/>
    </row>
    <row r="648" spans="1:22" x14ac:dyDescent="0.25">
      <c r="A648" s="25">
        <v>637</v>
      </c>
      <c r="B648" s="23"/>
      <c r="C648" s="14"/>
      <c r="D648" s="23"/>
      <c r="E648" s="84"/>
      <c r="F648" s="23"/>
      <c r="G648" s="165"/>
      <c r="H648" s="165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56"/>
    </row>
    <row r="649" spans="1:22" ht="30" x14ac:dyDescent="0.25">
      <c r="A649" s="25">
        <v>638</v>
      </c>
      <c r="B649" s="89" t="s">
        <v>61</v>
      </c>
      <c r="C649" s="90" t="s">
        <v>647</v>
      </c>
      <c r="D649" s="89" t="s">
        <v>27</v>
      </c>
      <c r="E649" s="89"/>
      <c r="F649" s="89"/>
      <c r="G649" s="163"/>
      <c r="H649" s="167">
        <v>176260</v>
      </c>
      <c r="I649" s="89" t="s">
        <v>52</v>
      </c>
      <c r="J649" s="60"/>
      <c r="K649" s="60">
        <v>1</v>
      </c>
      <c r="L649" s="60"/>
      <c r="M649" s="60"/>
      <c r="N649" s="60">
        <v>1</v>
      </c>
      <c r="O649" s="60"/>
      <c r="P649" s="60">
        <v>1</v>
      </c>
      <c r="Q649" s="60"/>
      <c r="R649" s="60"/>
      <c r="S649" s="60">
        <v>1</v>
      </c>
      <c r="T649" s="60"/>
      <c r="U649" s="60"/>
      <c r="V649" s="56"/>
    </row>
    <row r="650" spans="1:22" x14ac:dyDescent="0.25">
      <c r="A650" s="25">
        <v>639</v>
      </c>
      <c r="B650" s="23"/>
      <c r="C650" s="14" t="s">
        <v>648</v>
      </c>
      <c r="D650" s="23"/>
      <c r="E650" s="84">
        <v>8</v>
      </c>
      <c r="F650" s="23" t="s">
        <v>152</v>
      </c>
      <c r="G650" s="165">
        <v>550</v>
      </c>
      <c r="H650" s="165">
        <v>4400</v>
      </c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56"/>
    </row>
    <row r="651" spans="1:22" x14ac:dyDescent="0.25">
      <c r="A651" s="25">
        <v>640</v>
      </c>
      <c r="B651" s="23"/>
      <c r="C651" s="14" t="s">
        <v>649</v>
      </c>
      <c r="D651" s="23"/>
      <c r="E651" s="84">
        <v>8</v>
      </c>
      <c r="F651" s="23" t="s">
        <v>152</v>
      </c>
      <c r="G651" s="165">
        <v>2500</v>
      </c>
      <c r="H651" s="165">
        <v>20000</v>
      </c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56"/>
    </row>
    <row r="652" spans="1:22" x14ac:dyDescent="0.25">
      <c r="A652" s="25">
        <v>641</v>
      </c>
      <c r="B652" s="23"/>
      <c r="C652" s="14" t="s">
        <v>650</v>
      </c>
      <c r="D652" s="23"/>
      <c r="E652" s="84">
        <v>3</v>
      </c>
      <c r="F652" s="23" t="s">
        <v>152</v>
      </c>
      <c r="G652" s="165">
        <v>3800</v>
      </c>
      <c r="H652" s="165">
        <v>11400</v>
      </c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56"/>
    </row>
    <row r="653" spans="1:22" x14ac:dyDescent="0.25">
      <c r="A653" s="25">
        <v>642</v>
      </c>
      <c r="B653" s="23"/>
      <c r="C653" s="14" t="s">
        <v>603</v>
      </c>
      <c r="D653" s="23"/>
      <c r="E653" s="84">
        <v>5</v>
      </c>
      <c r="F653" s="23" t="s">
        <v>37</v>
      </c>
      <c r="G653" s="165">
        <v>3900</v>
      </c>
      <c r="H653" s="165">
        <v>19500</v>
      </c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56"/>
    </row>
    <row r="654" spans="1:22" x14ac:dyDescent="0.25">
      <c r="A654" s="25">
        <v>643</v>
      </c>
      <c r="B654" s="23"/>
      <c r="C654" s="14" t="s">
        <v>651</v>
      </c>
      <c r="D654" s="23"/>
      <c r="E654" s="84">
        <v>76</v>
      </c>
      <c r="F654" s="23" t="s">
        <v>37</v>
      </c>
      <c r="G654" s="165">
        <v>540</v>
      </c>
      <c r="H654" s="165">
        <v>41040</v>
      </c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56"/>
    </row>
    <row r="655" spans="1:22" x14ac:dyDescent="0.25">
      <c r="A655" s="25">
        <v>644</v>
      </c>
      <c r="B655" s="23"/>
      <c r="C655" s="14" t="s">
        <v>638</v>
      </c>
      <c r="D655" s="23"/>
      <c r="E655" s="84">
        <v>20</v>
      </c>
      <c r="F655" s="23" t="s">
        <v>37</v>
      </c>
      <c r="G655" s="165">
        <v>540</v>
      </c>
      <c r="H655" s="165">
        <v>10800</v>
      </c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56"/>
    </row>
    <row r="656" spans="1:22" x14ac:dyDescent="0.25">
      <c r="A656" s="25">
        <v>645</v>
      </c>
      <c r="B656" s="23"/>
      <c r="C656" s="14" t="s">
        <v>652</v>
      </c>
      <c r="D656" s="23"/>
      <c r="E656" s="84">
        <v>76</v>
      </c>
      <c r="F656" s="23" t="s">
        <v>37</v>
      </c>
      <c r="G656" s="165">
        <v>720</v>
      </c>
      <c r="H656" s="165">
        <v>54720</v>
      </c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56"/>
    </row>
    <row r="657" spans="1:22" ht="28.5" x14ac:dyDescent="0.25">
      <c r="A657" s="25">
        <v>646</v>
      </c>
      <c r="B657" s="23"/>
      <c r="C657" s="14" t="s">
        <v>653</v>
      </c>
      <c r="D657" s="23"/>
      <c r="E657" s="84">
        <v>20</v>
      </c>
      <c r="F657" s="23" t="s">
        <v>37</v>
      </c>
      <c r="G657" s="165">
        <v>720</v>
      </c>
      <c r="H657" s="165">
        <v>14400</v>
      </c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56"/>
    </row>
    <row r="658" spans="1:22" x14ac:dyDescent="0.25">
      <c r="A658" s="25">
        <v>647</v>
      </c>
      <c r="B658" s="23"/>
      <c r="C658" s="14"/>
      <c r="D658" s="23"/>
      <c r="E658" s="84"/>
      <c r="F658" s="23"/>
      <c r="G658" s="165"/>
      <c r="H658" s="165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56"/>
    </row>
    <row r="659" spans="1:22" ht="30" x14ac:dyDescent="0.25">
      <c r="A659" s="25">
        <v>648</v>
      </c>
      <c r="B659" s="89" t="s">
        <v>61</v>
      </c>
      <c r="C659" s="90" t="s">
        <v>86</v>
      </c>
      <c r="D659" s="89" t="s">
        <v>27</v>
      </c>
      <c r="E659" s="89"/>
      <c r="F659" s="89"/>
      <c r="G659" s="163"/>
      <c r="H659" s="167">
        <v>491220</v>
      </c>
      <c r="I659" s="89" t="s">
        <v>52</v>
      </c>
      <c r="J659" s="60"/>
      <c r="K659" s="60"/>
      <c r="L659" s="60"/>
      <c r="M659" s="60">
        <v>2</v>
      </c>
      <c r="N659" s="60"/>
      <c r="O659" s="60"/>
      <c r="P659" s="60">
        <v>1</v>
      </c>
      <c r="Q659" s="60"/>
      <c r="R659" s="60"/>
      <c r="S659" s="60"/>
      <c r="T659" s="60"/>
      <c r="U659" s="60"/>
      <c r="V659" s="56"/>
    </row>
    <row r="660" spans="1:22" x14ac:dyDescent="0.25">
      <c r="A660" s="25">
        <v>649</v>
      </c>
      <c r="B660" s="23"/>
      <c r="C660" s="14" t="s">
        <v>58</v>
      </c>
      <c r="D660" s="23"/>
      <c r="E660" s="84"/>
      <c r="F660" s="23"/>
      <c r="G660" s="165"/>
      <c r="H660" s="165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56"/>
    </row>
    <row r="661" spans="1:22" x14ac:dyDescent="0.25">
      <c r="A661" s="25">
        <v>650</v>
      </c>
      <c r="B661" s="23"/>
      <c r="C661" s="26" t="s">
        <v>709</v>
      </c>
      <c r="D661" s="23"/>
      <c r="E661" s="27">
        <v>5</v>
      </c>
      <c r="F661" s="27" t="s">
        <v>37</v>
      </c>
      <c r="G661" s="28">
        <v>9500</v>
      </c>
      <c r="H661" s="165">
        <f>E661*G661</f>
        <v>47500</v>
      </c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56"/>
    </row>
    <row r="662" spans="1:22" x14ac:dyDescent="0.25">
      <c r="A662" s="25">
        <v>651</v>
      </c>
      <c r="B662" s="23"/>
      <c r="C662" s="39" t="s">
        <v>710</v>
      </c>
      <c r="D662" s="23"/>
      <c r="E662" s="36">
        <v>5</v>
      </c>
      <c r="F662" s="36" t="s">
        <v>37</v>
      </c>
      <c r="G662" s="35">
        <v>9500</v>
      </c>
      <c r="H662" s="165">
        <f t="shared" ref="H662:H676" si="33">E662*G662</f>
        <v>47500</v>
      </c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56"/>
    </row>
    <row r="663" spans="1:22" x14ac:dyDescent="0.25">
      <c r="A663" s="25">
        <v>652</v>
      </c>
      <c r="B663" s="23"/>
      <c r="C663" s="39" t="s">
        <v>711</v>
      </c>
      <c r="D663" s="23"/>
      <c r="E663" s="36">
        <v>5</v>
      </c>
      <c r="F663" s="36" t="s">
        <v>37</v>
      </c>
      <c r="G663" s="35">
        <v>9500</v>
      </c>
      <c r="H663" s="165">
        <f t="shared" si="33"/>
        <v>47500</v>
      </c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56"/>
    </row>
    <row r="664" spans="1:22" x14ac:dyDescent="0.25">
      <c r="A664" s="25">
        <v>653</v>
      </c>
      <c r="B664" s="23"/>
      <c r="C664" s="93" t="s">
        <v>712</v>
      </c>
      <c r="D664" s="23"/>
      <c r="E664" s="23">
        <v>12</v>
      </c>
      <c r="F664" s="23" t="s">
        <v>673</v>
      </c>
      <c r="G664" s="219">
        <v>800</v>
      </c>
      <c r="H664" s="165">
        <f t="shared" si="33"/>
        <v>9600</v>
      </c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56"/>
    </row>
    <row r="665" spans="1:22" x14ac:dyDescent="0.25">
      <c r="A665" s="25">
        <v>654</v>
      </c>
      <c r="B665" s="23"/>
      <c r="C665" s="93" t="s">
        <v>713</v>
      </c>
      <c r="D665" s="23"/>
      <c r="E665" s="23">
        <v>12</v>
      </c>
      <c r="F665" s="23" t="s">
        <v>673</v>
      </c>
      <c r="G665" s="219">
        <v>500</v>
      </c>
      <c r="H665" s="165">
        <f t="shared" si="33"/>
        <v>6000</v>
      </c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56"/>
    </row>
    <row r="666" spans="1:22" x14ac:dyDescent="0.25">
      <c r="A666" s="25">
        <v>655</v>
      </c>
      <c r="B666" s="23"/>
      <c r="C666" s="93" t="s">
        <v>714</v>
      </c>
      <c r="D666" s="23"/>
      <c r="E666" s="23">
        <v>1</v>
      </c>
      <c r="F666" s="23" t="s">
        <v>145</v>
      </c>
      <c r="G666" s="219">
        <v>15120</v>
      </c>
      <c r="H666" s="165">
        <f t="shared" si="33"/>
        <v>15120</v>
      </c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56"/>
    </row>
    <row r="667" spans="1:22" x14ac:dyDescent="0.25">
      <c r="A667" s="25">
        <v>656</v>
      </c>
      <c r="B667" s="23"/>
      <c r="C667" s="61" t="s">
        <v>715</v>
      </c>
      <c r="D667" s="23"/>
      <c r="E667" s="25">
        <v>8</v>
      </c>
      <c r="F667" s="25" t="s">
        <v>152</v>
      </c>
      <c r="G667" s="166">
        <v>550</v>
      </c>
      <c r="H667" s="165">
        <f t="shared" si="33"/>
        <v>4400</v>
      </c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56"/>
    </row>
    <row r="668" spans="1:22" x14ac:dyDescent="0.25">
      <c r="A668" s="25">
        <v>657</v>
      </c>
      <c r="B668" s="23"/>
      <c r="C668" s="61" t="s">
        <v>306</v>
      </c>
      <c r="D668" s="23"/>
      <c r="E668" s="25">
        <v>60</v>
      </c>
      <c r="F668" s="25" t="s">
        <v>310</v>
      </c>
      <c r="G668" s="166">
        <v>50</v>
      </c>
      <c r="H668" s="165">
        <f t="shared" si="33"/>
        <v>3000</v>
      </c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56"/>
    </row>
    <row r="669" spans="1:22" x14ac:dyDescent="0.25">
      <c r="A669" s="25">
        <v>658</v>
      </c>
      <c r="B669" s="23"/>
      <c r="C669" s="63" t="s">
        <v>307</v>
      </c>
      <c r="D669" s="23"/>
      <c r="E669" s="64">
        <v>20</v>
      </c>
      <c r="F669" s="23" t="s">
        <v>309</v>
      </c>
      <c r="G669" s="168">
        <v>249.5</v>
      </c>
      <c r="H669" s="165">
        <f t="shared" si="33"/>
        <v>4990</v>
      </c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56"/>
    </row>
    <row r="670" spans="1:22" x14ac:dyDescent="0.25">
      <c r="A670" s="25">
        <v>659</v>
      </c>
      <c r="B670" s="23"/>
      <c r="C670" s="63" t="s">
        <v>187</v>
      </c>
      <c r="D670" s="23"/>
      <c r="E670" s="64">
        <v>60</v>
      </c>
      <c r="F670" s="64" t="s">
        <v>310</v>
      </c>
      <c r="G670" s="168">
        <v>200</v>
      </c>
      <c r="H670" s="165">
        <f t="shared" si="33"/>
        <v>12000</v>
      </c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56"/>
    </row>
    <row r="671" spans="1:22" x14ac:dyDescent="0.25">
      <c r="A671" s="25">
        <v>660</v>
      </c>
      <c r="B671" s="23"/>
      <c r="C671" s="63" t="s">
        <v>716</v>
      </c>
      <c r="D671" s="23"/>
      <c r="E671" s="64">
        <v>2</v>
      </c>
      <c r="F671" s="64" t="s">
        <v>152</v>
      </c>
      <c r="G671" s="168">
        <v>15000</v>
      </c>
      <c r="H671" s="165">
        <f t="shared" si="33"/>
        <v>30000</v>
      </c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56"/>
    </row>
    <row r="672" spans="1:22" x14ac:dyDescent="0.25">
      <c r="A672" s="25">
        <v>661</v>
      </c>
      <c r="B672" s="23"/>
      <c r="C672" s="63" t="s">
        <v>717</v>
      </c>
      <c r="D672" s="23"/>
      <c r="E672" s="64">
        <v>2</v>
      </c>
      <c r="F672" s="64" t="s">
        <v>152</v>
      </c>
      <c r="G672" s="168">
        <v>49995</v>
      </c>
      <c r="H672" s="165">
        <f t="shared" si="33"/>
        <v>99990</v>
      </c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56"/>
    </row>
    <row r="673" spans="1:22" x14ac:dyDescent="0.25">
      <c r="A673" s="25">
        <v>662</v>
      </c>
      <c r="B673" s="23"/>
      <c r="C673" s="63" t="s">
        <v>408</v>
      </c>
      <c r="D673" s="23"/>
      <c r="E673" s="64">
        <v>2</v>
      </c>
      <c r="F673" s="64" t="s">
        <v>152</v>
      </c>
      <c r="G673" s="168">
        <v>45000</v>
      </c>
      <c r="H673" s="165">
        <f t="shared" si="33"/>
        <v>90000</v>
      </c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56"/>
    </row>
    <row r="674" spans="1:22" x14ac:dyDescent="0.25">
      <c r="A674" s="25">
        <v>663</v>
      </c>
      <c r="B674" s="23"/>
      <c r="C674" s="63" t="s">
        <v>718</v>
      </c>
      <c r="D674" s="23"/>
      <c r="E674" s="64">
        <v>2</v>
      </c>
      <c r="F674" s="64" t="s">
        <v>152</v>
      </c>
      <c r="G674" s="168">
        <v>15000</v>
      </c>
      <c r="H674" s="165">
        <f t="shared" si="33"/>
        <v>30000</v>
      </c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56"/>
    </row>
    <row r="675" spans="1:22" x14ac:dyDescent="0.25">
      <c r="A675" s="25">
        <v>664</v>
      </c>
      <c r="B675" s="23"/>
      <c r="C675" s="63" t="s">
        <v>334</v>
      </c>
      <c r="D675" s="23"/>
      <c r="E675" s="64">
        <v>12</v>
      </c>
      <c r="F675" s="64" t="s">
        <v>152</v>
      </c>
      <c r="G675" s="168">
        <v>635</v>
      </c>
      <c r="H675" s="165">
        <f t="shared" si="33"/>
        <v>7620</v>
      </c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56"/>
    </row>
    <row r="676" spans="1:22" x14ac:dyDescent="0.25">
      <c r="A676" s="25">
        <v>665</v>
      </c>
      <c r="B676" s="23"/>
      <c r="C676" s="63" t="s">
        <v>719</v>
      </c>
      <c r="D676" s="23"/>
      <c r="E676" s="64">
        <v>12</v>
      </c>
      <c r="F676" s="64" t="s">
        <v>152</v>
      </c>
      <c r="G676" s="168">
        <v>3000</v>
      </c>
      <c r="H676" s="165">
        <f t="shared" si="33"/>
        <v>36000</v>
      </c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56"/>
    </row>
    <row r="677" spans="1:22" x14ac:dyDescent="0.25">
      <c r="A677" s="25">
        <v>666</v>
      </c>
      <c r="B677" s="23"/>
      <c r="C677" s="14"/>
      <c r="D677" s="23"/>
      <c r="E677" s="84"/>
      <c r="F677" s="23"/>
      <c r="G677" s="165"/>
      <c r="H677" s="165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56"/>
    </row>
    <row r="678" spans="1:22" ht="30" x14ac:dyDescent="0.25">
      <c r="A678" s="25">
        <v>667</v>
      </c>
      <c r="B678" s="89" t="s">
        <v>61</v>
      </c>
      <c r="C678" s="90" t="s">
        <v>87</v>
      </c>
      <c r="D678" s="89" t="s">
        <v>27</v>
      </c>
      <c r="E678" s="89"/>
      <c r="F678" s="89"/>
      <c r="G678" s="163"/>
      <c r="H678" s="167">
        <v>13145</v>
      </c>
      <c r="I678" s="89" t="s">
        <v>52</v>
      </c>
      <c r="J678" s="60"/>
      <c r="K678" s="60"/>
      <c r="L678" s="60"/>
      <c r="M678" s="60">
        <v>1</v>
      </c>
      <c r="N678" s="60"/>
      <c r="O678" s="60">
        <v>1</v>
      </c>
      <c r="P678" s="60"/>
      <c r="Q678" s="60"/>
      <c r="R678" s="60"/>
      <c r="S678" s="60"/>
      <c r="T678" s="60">
        <v>1</v>
      </c>
      <c r="U678" s="60"/>
      <c r="V678" s="56"/>
    </row>
    <row r="679" spans="1:22" x14ac:dyDescent="0.25">
      <c r="A679" s="25">
        <v>668</v>
      </c>
      <c r="B679" s="23"/>
      <c r="C679" s="14" t="s">
        <v>54</v>
      </c>
      <c r="D679" s="23"/>
      <c r="E679" s="84"/>
      <c r="F679" s="23"/>
      <c r="G679" s="165"/>
      <c r="H679" s="165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56"/>
    </row>
    <row r="680" spans="1:22" x14ac:dyDescent="0.25">
      <c r="A680" s="25">
        <v>669</v>
      </c>
      <c r="B680" s="23"/>
      <c r="C680" s="14" t="s">
        <v>720</v>
      </c>
      <c r="D680" s="23"/>
      <c r="E680" s="84">
        <v>15</v>
      </c>
      <c r="F680" s="23" t="s">
        <v>37</v>
      </c>
      <c r="G680" s="107">
        <v>120</v>
      </c>
      <c r="H680" s="165">
        <f>E680*G680</f>
        <v>1800</v>
      </c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56"/>
    </row>
    <row r="681" spans="1:22" x14ac:dyDescent="0.25">
      <c r="A681" s="25">
        <v>670</v>
      </c>
      <c r="B681" s="23"/>
      <c r="C681" s="14" t="s">
        <v>721</v>
      </c>
      <c r="D681" s="23"/>
      <c r="E681" s="84">
        <v>15</v>
      </c>
      <c r="F681" s="23" t="s">
        <v>37</v>
      </c>
      <c r="G681" s="107">
        <v>180</v>
      </c>
      <c r="H681" s="165">
        <f t="shared" ref="H681:H692" si="34">E681*G681</f>
        <v>2700</v>
      </c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56"/>
    </row>
    <row r="682" spans="1:22" x14ac:dyDescent="0.25">
      <c r="A682" s="25">
        <v>671</v>
      </c>
      <c r="B682" s="23"/>
      <c r="C682" s="14" t="s">
        <v>722</v>
      </c>
      <c r="D682" s="23"/>
      <c r="E682" s="84">
        <v>15</v>
      </c>
      <c r="F682" s="23" t="s">
        <v>37</v>
      </c>
      <c r="G682" s="107">
        <v>120</v>
      </c>
      <c r="H682" s="165">
        <f t="shared" si="34"/>
        <v>1800</v>
      </c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56"/>
    </row>
    <row r="683" spans="1:22" x14ac:dyDescent="0.25">
      <c r="A683" s="25">
        <v>672</v>
      </c>
      <c r="B683" s="23"/>
      <c r="C683" s="14" t="s">
        <v>56</v>
      </c>
      <c r="D683" s="23"/>
      <c r="E683" s="84"/>
      <c r="F683" s="23"/>
      <c r="G683" s="107"/>
      <c r="H683" s="165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56"/>
    </row>
    <row r="684" spans="1:22" x14ac:dyDescent="0.25">
      <c r="A684" s="25">
        <v>673</v>
      </c>
      <c r="B684" s="23"/>
      <c r="C684" s="14" t="s">
        <v>723</v>
      </c>
      <c r="D684" s="23"/>
      <c r="E684" s="84">
        <v>2</v>
      </c>
      <c r="F684" s="23" t="s">
        <v>152</v>
      </c>
      <c r="G684" s="107">
        <v>2000</v>
      </c>
      <c r="H684" s="165">
        <f t="shared" si="34"/>
        <v>4000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56"/>
    </row>
    <row r="685" spans="1:22" x14ac:dyDescent="0.25">
      <c r="A685" s="25">
        <v>674</v>
      </c>
      <c r="B685" s="23"/>
      <c r="C685" s="14" t="s">
        <v>55</v>
      </c>
      <c r="D685" s="23"/>
      <c r="E685" s="84"/>
      <c r="F685" s="23"/>
      <c r="G685" s="107"/>
      <c r="H685" s="165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56"/>
    </row>
    <row r="686" spans="1:22" x14ac:dyDescent="0.25">
      <c r="A686" s="25">
        <v>675</v>
      </c>
      <c r="B686" s="23"/>
      <c r="C686" s="14" t="s">
        <v>724</v>
      </c>
      <c r="D686" s="23"/>
      <c r="E686" s="84">
        <v>13</v>
      </c>
      <c r="F686" s="23" t="s">
        <v>152</v>
      </c>
      <c r="G686" s="107">
        <v>15</v>
      </c>
      <c r="H686" s="165">
        <f t="shared" si="34"/>
        <v>195</v>
      </c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56"/>
    </row>
    <row r="687" spans="1:22" x14ac:dyDescent="0.25">
      <c r="A687" s="25">
        <v>676</v>
      </c>
      <c r="B687" s="23"/>
      <c r="C687" s="14" t="s">
        <v>278</v>
      </c>
      <c r="D687" s="23"/>
      <c r="E687" s="84">
        <v>13</v>
      </c>
      <c r="F687" s="23" t="s">
        <v>152</v>
      </c>
      <c r="G687" s="107">
        <v>45</v>
      </c>
      <c r="H687" s="165">
        <f t="shared" si="34"/>
        <v>585</v>
      </c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56"/>
    </row>
    <row r="688" spans="1:22" x14ac:dyDescent="0.25">
      <c r="A688" s="25">
        <v>677</v>
      </c>
      <c r="B688" s="23"/>
      <c r="C688" s="14" t="s">
        <v>71</v>
      </c>
      <c r="D688" s="23"/>
      <c r="E688" s="84"/>
      <c r="F688" s="23"/>
      <c r="G688" s="107"/>
      <c r="H688" s="165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56"/>
    </row>
    <row r="689" spans="1:22" x14ac:dyDescent="0.25">
      <c r="A689" s="25">
        <v>678</v>
      </c>
      <c r="B689" s="23"/>
      <c r="C689" s="14" t="s">
        <v>725</v>
      </c>
      <c r="D689" s="23"/>
      <c r="E689" s="84">
        <v>4</v>
      </c>
      <c r="F689" s="23" t="s">
        <v>571</v>
      </c>
      <c r="G689" s="107">
        <v>35</v>
      </c>
      <c r="H689" s="165">
        <f t="shared" si="34"/>
        <v>140</v>
      </c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56"/>
    </row>
    <row r="690" spans="1:22" x14ac:dyDescent="0.25">
      <c r="A690" s="25">
        <v>679</v>
      </c>
      <c r="B690" s="23"/>
      <c r="C690" s="14" t="s">
        <v>399</v>
      </c>
      <c r="D690" s="23"/>
      <c r="E690" s="84">
        <v>12</v>
      </c>
      <c r="F690" s="23" t="s">
        <v>571</v>
      </c>
      <c r="G690" s="107">
        <v>50</v>
      </c>
      <c r="H690" s="165">
        <f t="shared" si="34"/>
        <v>600</v>
      </c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56"/>
    </row>
    <row r="691" spans="1:22" x14ac:dyDescent="0.25">
      <c r="A691" s="25">
        <v>680</v>
      </c>
      <c r="B691" s="23"/>
      <c r="C691" s="14" t="s">
        <v>726</v>
      </c>
      <c r="D691" s="23"/>
      <c r="E691" s="84">
        <v>10</v>
      </c>
      <c r="F691" s="23" t="s">
        <v>309</v>
      </c>
      <c r="G691" s="107">
        <v>100</v>
      </c>
      <c r="H691" s="165">
        <f t="shared" si="34"/>
        <v>1000</v>
      </c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56"/>
    </row>
    <row r="692" spans="1:22" x14ac:dyDescent="0.25">
      <c r="A692" s="25">
        <v>681</v>
      </c>
      <c r="B692" s="23"/>
      <c r="C692" s="14" t="s">
        <v>424</v>
      </c>
      <c r="D692" s="23"/>
      <c r="E692" s="84">
        <v>13</v>
      </c>
      <c r="F692" s="23" t="s">
        <v>152</v>
      </c>
      <c r="G692" s="107">
        <v>25</v>
      </c>
      <c r="H692" s="165">
        <f t="shared" si="34"/>
        <v>325</v>
      </c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56"/>
    </row>
    <row r="693" spans="1:22" x14ac:dyDescent="0.25">
      <c r="A693" s="25">
        <v>682</v>
      </c>
      <c r="B693" s="23"/>
      <c r="C693" s="14"/>
      <c r="D693" s="23"/>
      <c r="E693" s="84"/>
      <c r="F693" s="23"/>
      <c r="G693" s="165"/>
      <c r="H693" s="165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56"/>
    </row>
    <row r="694" spans="1:22" ht="30" x14ac:dyDescent="0.25">
      <c r="A694" s="25">
        <v>683</v>
      </c>
      <c r="B694" s="89" t="s">
        <v>61</v>
      </c>
      <c r="C694" s="90" t="s">
        <v>40</v>
      </c>
      <c r="D694" s="89" t="s">
        <v>27</v>
      </c>
      <c r="E694" s="89"/>
      <c r="F694" s="89"/>
      <c r="G694" s="163"/>
      <c r="H694" s="167">
        <v>1280560</v>
      </c>
      <c r="I694" s="89" t="s">
        <v>52</v>
      </c>
      <c r="J694" s="60"/>
      <c r="K694" s="60"/>
      <c r="L694" s="60"/>
      <c r="M694" s="60">
        <v>5</v>
      </c>
      <c r="N694" s="60"/>
      <c r="O694" s="60"/>
      <c r="P694" s="60">
        <v>2</v>
      </c>
      <c r="Q694" s="60"/>
      <c r="R694" s="60"/>
      <c r="S694" s="60"/>
      <c r="T694" s="60"/>
      <c r="U694" s="60"/>
      <c r="V694" s="56"/>
    </row>
    <row r="695" spans="1:22" x14ac:dyDescent="0.25">
      <c r="A695" s="25">
        <v>684</v>
      </c>
      <c r="B695" s="23"/>
      <c r="C695" s="14" t="s">
        <v>286</v>
      </c>
      <c r="D695" s="23"/>
      <c r="E695" s="84"/>
      <c r="F695" s="23"/>
      <c r="G695" s="165"/>
      <c r="H695" s="165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56"/>
    </row>
    <row r="696" spans="1:22" x14ac:dyDescent="0.25">
      <c r="A696" s="25">
        <v>685</v>
      </c>
      <c r="B696" s="23"/>
      <c r="C696" s="39" t="s">
        <v>506</v>
      </c>
      <c r="D696" s="23"/>
      <c r="E696" s="36">
        <v>15</v>
      </c>
      <c r="F696" s="36" t="s">
        <v>152</v>
      </c>
      <c r="G696" s="108">
        <v>220</v>
      </c>
      <c r="H696" s="35">
        <f>G696*E696</f>
        <v>3300</v>
      </c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56"/>
    </row>
    <row r="697" spans="1:22" x14ac:dyDescent="0.25">
      <c r="A697" s="25">
        <v>686</v>
      </c>
      <c r="B697" s="23"/>
      <c r="C697" s="1" t="s">
        <v>254</v>
      </c>
      <c r="D697" s="23"/>
      <c r="E697" s="8">
        <v>50</v>
      </c>
      <c r="F697" s="23" t="s">
        <v>309</v>
      </c>
      <c r="G697" s="96">
        <v>105</v>
      </c>
      <c r="H697" s="35">
        <f>G697*E697</f>
        <v>5250</v>
      </c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56"/>
    </row>
    <row r="698" spans="1:22" x14ac:dyDescent="0.25">
      <c r="A698" s="25">
        <v>687</v>
      </c>
      <c r="B698" s="23"/>
      <c r="C698" s="1" t="s">
        <v>287</v>
      </c>
      <c r="D698" s="23"/>
      <c r="E698" s="8">
        <v>30</v>
      </c>
      <c r="F698" s="8" t="s">
        <v>152</v>
      </c>
      <c r="G698" s="96">
        <v>25</v>
      </c>
      <c r="H698" s="35">
        <f t="shared" ref="H698:H711" si="35">G698*E698</f>
        <v>750</v>
      </c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56"/>
    </row>
    <row r="699" spans="1:22" x14ac:dyDescent="0.25">
      <c r="A699" s="25">
        <v>688</v>
      </c>
      <c r="B699" s="23"/>
      <c r="C699" s="1" t="s">
        <v>276</v>
      </c>
      <c r="D699" s="23"/>
      <c r="E699" s="8">
        <v>65</v>
      </c>
      <c r="F699" s="8" t="s">
        <v>152</v>
      </c>
      <c r="G699" s="96">
        <v>95</v>
      </c>
      <c r="H699" s="35">
        <f t="shared" si="35"/>
        <v>6175</v>
      </c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56"/>
    </row>
    <row r="700" spans="1:22" x14ac:dyDescent="0.25">
      <c r="A700" s="25">
        <v>689</v>
      </c>
      <c r="B700" s="23"/>
      <c r="C700" s="1" t="s">
        <v>288</v>
      </c>
      <c r="D700" s="23"/>
      <c r="E700" s="8">
        <v>5</v>
      </c>
      <c r="F700" s="8" t="s">
        <v>290</v>
      </c>
      <c r="G700" s="96">
        <v>235</v>
      </c>
      <c r="H700" s="35">
        <f t="shared" si="35"/>
        <v>1175</v>
      </c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56"/>
    </row>
    <row r="701" spans="1:22" x14ac:dyDescent="0.25">
      <c r="A701" s="25">
        <v>690</v>
      </c>
      <c r="B701" s="23"/>
      <c r="C701" s="1" t="s">
        <v>436</v>
      </c>
      <c r="D701" s="23"/>
      <c r="E701" s="8">
        <v>15</v>
      </c>
      <c r="F701" s="23" t="s">
        <v>309</v>
      </c>
      <c r="G701" s="96">
        <v>285</v>
      </c>
      <c r="H701" s="35">
        <f t="shared" si="35"/>
        <v>4275</v>
      </c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56"/>
    </row>
    <row r="702" spans="1:22" x14ac:dyDescent="0.25">
      <c r="A702" s="25">
        <v>691</v>
      </c>
      <c r="B702" s="23"/>
      <c r="C702" s="1" t="s">
        <v>437</v>
      </c>
      <c r="D702" s="23"/>
      <c r="E702" s="8">
        <v>100</v>
      </c>
      <c r="F702" s="8" t="s">
        <v>152</v>
      </c>
      <c r="G702" s="96">
        <v>115</v>
      </c>
      <c r="H702" s="35">
        <f t="shared" si="35"/>
        <v>11500</v>
      </c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56"/>
    </row>
    <row r="703" spans="1:22" x14ac:dyDescent="0.25">
      <c r="A703" s="25">
        <v>692</v>
      </c>
      <c r="B703" s="23"/>
      <c r="C703" s="1" t="s">
        <v>507</v>
      </c>
      <c r="D703" s="23"/>
      <c r="E703" s="8">
        <v>4</v>
      </c>
      <c r="F703" s="8" t="s">
        <v>152</v>
      </c>
      <c r="G703" s="96">
        <v>115</v>
      </c>
      <c r="H703" s="35">
        <f t="shared" si="35"/>
        <v>460</v>
      </c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56"/>
    </row>
    <row r="704" spans="1:22" x14ac:dyDescent="0.25">
      <c r="A704" s="25">
        <v>693</v>
      </c>
      <c r="B704" s="23"/>
      <c r="C704" s="1" t="s">
        <v>438</v>
      </c>
      <c r="D704" s="23"/>
      <c r="E704" s="8">
        <v>10</v>
      </c>
      <c r="F704" s="8" t="s">
        <v>447</v>
      </c>
      <c r="G704" s="96">
        <v>80</v>
      </c>
      <c r="H704" s="35">
        <f t="shared" si="35"/>
        <v>800</v>
      </c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56"/>
    </row>
    <row r="705" spans="1:22" x14ac:dyDescent="0.25">
      <c r="A705" s="25">
        <v>694</v>
      </c>
      <c r="B705" s="23"/>
      <c r="C705" s="1" t="s">
        <v>440</v>
      </c>
      <c r="D705" s="23"/>
      <c r="E705" s="8">
        <v>12</v>
      </c>
      <c r="F705" s="8" t="s">
        <v>291</v>
      </c>
      <c r="G705" s="96">
        <v>90</v>
      </c>
      <c r="H705" s="35">
        <f t="shared" si="35"/>
        <v>1080</v>
      </c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56"/>
    </row>
    <row r="706" spans="1:22" x14ac:dyDescent="0.25">
      <c r="A706" s="25">
        <v>695</v>
      </c>
      <c r="B706" s="23"/>
      <c r="C706" s="1" t="s">
        <v>508</v>
      </c>
      <c r="D706" s="23"/>
      <c r="E706" s="8">
        <v>80</v>
      </c>
      <c r="F706" s="8" t="s">
        <v>152</v>
      </c>
      <c r="G706" s="96">
        <v>47</v>
      </c>
      <c r="H706" s="35">
        <f t="shared" si="35"/>
        <v>3760</v>
      </c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56"/>
    </row>
    <row r="707" spans="1:22" x14ac:dyDescent="0.25">
      <c r="A707" s="25">
        <v>696</v>
      </c>
      <c r="B707" s="23"/>
      <c r="C707" s="1" t="s">
        <v>441</v>
      </c>
      <c r="D707" s="23"/>
      <c r="E707" s="8">
        <v>10</v>
      </c>
      <c r="F707" s="8" t="s">
        <v>310</v>
      </c>
      <c r="G707" s="96">
        <v>90</v>
      </c>
      <c r="H707" s="35">
        <f t="shared" si="35"/>
        <v>900</v>
      </c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56"/>
    </row>
    <row r="708" spans="1:22" x14ac:dyDescent="0.25">
      <c r="A708" s="25">
        <v>697</v>
      </c>
      <c r="B708" s="23"/>
      <c r="C708" s="1" t="s">
        <v>442</v>
      </c>
      <c r="D708" s="23"/>
      <c r="E708" s="8">
        <v>10</v>
      </c>
      <c r="F708" s="8" t="s">
        <v>152</v>
      </c>
      <c r="G708" s="96">
        <v>68</v>
      </c>
      <c r="H708" s="35">
        <f t="shared" si="35"/>
        <v>680</v>
      </c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56"/>
    </row>
    <row r="709" spans="1:22" x14ac:dyDescent="0.25">
      <c r="A709" s="25">
        <v>698</v>
      </c>
      <c r="B709" s="23"/>
      <c r="C709" s="1" t="s">
        <v>443</v>
      </c>
      <c r="D709" s="23"/>
      <c r="E709" s="8">
        <v>10</v>
      </c>
      <c r="F709" s="8" t="s">
        <v>152</v>
      </c>
      <c r="G709" s="96">
        <v>400</v>
      </c>
      <c r="H709" s="35">
        <f t="shared" si="35"/>
        <v>4000</v>
      </c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56"/>
    </row>
    <row r="710" spans="1:22" x14ac:dyDescent="0.25">
      <c r="A710" s="25">
        <v>699</v>
      </c>
      <c r="B710" s="23"/>
      <c r="C710" s="1" t="s">
        <v>509</v>
      </c>
      <c r="D710" s="23"/>
      <c r="E710" s="8">
        <v>1</v>
      </c>
      <c r="F710" s="8" t="s">
        <v>152</v>
      </c>
      <c r="G710" s="96">
        <v>6510</v>
      </c>
      <c r="H710" s="35">
        <f t="shared" si="35"/>
        <v>6510</v>
      </c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56"/>
    </row>
    <row r="711" spans="1:22" x14ac:dyDescent="0.25">
      <c r="A711" s="25">
        <v>700</v>
      </c>
      <c r="B711" s="23"/>
      <c r="C711" s="16" t="s">
        <v>444</v>
      </c>
      <c r="D711" s="23"/>
      <c r="E711" s="25">
        <v>10</v>
      </c>
      <c r="F711" s="25" t="s">
        <v>152</v>
      </c>
      <c r="G711" s="109">
        <v>200</v>
      </c>
      <c r="H711" s="35">
        <f t="shared" si="35"/>
        <v>2000</v>
      </c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56"/>
    </row>
    <row r="712" spans="1:22" x14ac:dyDescent="0.25">
      <c r="A712" s="25">
        <v>701</v>
      </c>
      <c r="B712" s="23"/>
      <c r="C712" s="4" t="s">
        <v>510</v>
      </c>
      <c r="D712" s="23"/>
      <c r="E712" s="36">
        <v>80</v>
      </c>
      <c r="F712" s="36" t="s">
        <v>152</v>
      </c>
      <c r="G712" s="108">
        <v>550</v>
      </c>
      <c r="H712" s="35">
        <f>G712*E712</f>
        <v>44000</v>
      </c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56"/>
    </row>
    <row r="713" spans="1:22" x14ac:dyDescent="0.25">
      <c r="A713" s="25">
        <v>702</v>
      </c>
      <c r="B713" s="23"/>
      <c r="C713" s="1" t="s">
        <v>520</v>
      </c>
      <c r="D713" s="23"/>
      <c r="E713" s="2">
        <v>10</v>
      </c>
      <c r="F713" s="8" t="s">
        <v>152</v>
      </c>
      <c r="G713" s="96">
        <v>780</v>
      </c>
      <c r="H713" s="35">
        <f>G713*E713</f>
        <v>7800</v>
      </c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56"/>
    </row>
    <row r="714" spans="1:22" x14ac:dyDescent="0.25">
      <c r="A714" s="25">
        <v>703</v>
      </c>
      <c r="B714" s="23"/>
      <c r="C714" s="14" t="s">
        <v>57</v>
      </c>
      <c r="D714" s="23"/>
      <c r="E714" s="36"/>
      <c r="F714" s="36"/>
      <c r="G714" s="108"/>
      <c r="H714" s="35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56"/>
    </row>
    <row r="715" spans="1:22" x14ac:dyDescent="0.25">
      <c r="A715" s="25">
        <v>704</v>
      </c>
      <c r="B715" s="23"/>
      <c r="C715" s="11" t="s">
        <v>511</v>
      </c>
      <c r="D715" s="23"/>
      <c r="E715" s="2">
        <v>10</v>
      </c>
      <c r="F715" s="2" t="s">
        <v>152</v>
      </c>
      <c r="G715" s="110">
        <v>14800</v>
      </c>
      <c r="H715" s="35">
        <f t="shared" ref="H715:H720" si="36">G715*E715</f>
        <v>148000</v>
      </c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56"/>
    </row>
    <row r="716" spans="1:22" x14ac:dyDescent="0.25">
      <c r="A716" s="25">
        <v>705</v>
      </c>
      <c r="B716" s="23"/>
      <c r="C716" s="1" t="s">
        <v>512</v>
      </c>
      <c r="D716" s="23"/>
      <c r="E716" s="2">
        <v>10</v>
      </c>
      <c r="F716" s="23" t="s">
        <v>309</v>
      </c>
      <c r="G716" s="96">
        <v>10100</v>
      </c>
      <c r="H716" s="35">
        <f t="shared" si="36"/>
        <v>101000</v>
      </c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56"/>
    </row>
    <row r="717" spans="1:22" x14ac:dyDescent="0.25">
      <c r="A717" s="25">
        <v>706</v>
      </c>
      <c r="B717" s="23"/>
      <c r="C717" s="1" t="s">
        <v>513</v>
      </c>
      <c r="D717" s="23"/>
      <c r="E717" s="2">
        <v>10</v>
      </c>
      <c r="F717" s="8" t="s">
        <v>152</v>
      </c>
      <c r="G717" s="96">
        <v>11000</v>
      </c>
      <c r="H717" s="35">
        <f t="shared" si="36"/>
        <v>110000</v>
      </c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56"/>
    </row>
    <row r="718" spans="1:22" x14ac:dyDescent="0.25">
      <c r="A718" s="25">
        <v>707</v>
      </c>
      <c r="B718" s="23"/>
      <c r="C718" s="1" t="s">
        <v>518</v>
      </c>
      <c r="D718" s="23"/>
      <c r="E718" s="2">
        <v>10</v>
      </c>
      <c r="F718" s="8" t="s">
        <v>152</v>
      </c>
      <c r="G718" s="96">
        <v>3950</v>
      </c>
      <c r="H718" s="35">
        <f t="shared" si="36"/>
        <v>39500</v>
      </c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56"/>
    </row>
    <row r="719" spans="1:22" x14ac:dyDescent="0.25">
      <c r="A719" s="25">
        <v>708</v>
      </c>
      <c r="B719" s="23"/>
      <c r="C719" s="1" t="s">
        <v>519</v>
      </c>
      <c r="D719" s="23"/>
      <c r="E719" s="2">
        <v>10</v>
      </c>
      <c r="F719" s="8" t="s">
        <v>152</v>
      </c>
      <c r="G719" s="96">
        <v>1250</v>
      </c>
      <c r="H719" s="35">
        <f t="shared" si="36"/>
        <v>12500</v>
      </c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56"/>
    </row>
    <row r="720" spans="1:22" x14ac:dyDescent="0.25">
      <c r="A720" s="25">
        <v>709</v>
      </c>
      <c r="B720" s="23"/>
      <c r="C720" s="1" t="s">
        <v>525</v>
      </c>
      <c r="D720" s="23"/>
      <c r="E720" s="2">
        <v>10</v>
      </c>
      <c r="F720" s="8" t="s">
        <v>152</v>
      </c>
      <c r="G720" s="96">
        <v>14800</v>
      </c>
      <c r="H720" s="35">
        <f t="shared" si="36"/>
        <v>148000</v>
      </c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56"/>
    </row>
    <row r="721" spans="1:22" x14ac:dyDescent="0.25">
      <c r="A721" s="25">
        <v>710</v>
      </c>
      <c r="B721" s="23"/>
      <c r="C721" s="14" t="s">
        <v>56</v>
      </c>
      <c r="D721" s="23"/>
      <c r="E721" s="2"/>
      <c r="F721" s="8"/>
      <c r="G721" s="96"/>
      <c r="H721" s="35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56"/>
    </row>
    <row r="722" spans="1:22" x14ac:dyDescent="0.25">
      <c r="A722" s="25">
        <v>711</v>
      </c>
      <c r="B722" s="23"/>
      <c r="C722" s="1" t="s">
        <v>514</v>
      </c>
      <c r="D722" s="23"/>
      <c r="E722" s="2">
        <v>10</v>
      </c>
      <c r="F722" s="8" t="s">
        <v>152</v>
      </c>
      <c r="G722" s="96">
        <v>5000</v>
      </c>
      <c r="H722" s="35">
        <f t="shared" ref="H722:H730" si="37">G722*E722</f>
        <v>50000</v>
      </c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56"/>
    </row>
    <row r="723" spans="1:22" x14ac:dyDescent="0.25">
      <c r="A723" s="25">
        <v>712</v>
      </c>
      <c r="B723" s="23"/>
      <c r="C723" s="1" t="s">
        <v>515</v>
      </c>
      <c r="D723" s="23"/>
      <c r="E723" s="2">
        <v>10</v>
      </c>
      <c r="F723" s="8" t="s">
        <v>152</v>
      </c>
      <c r="G723" s="96">
        <v>1000</v>
      </c>
      <c r="H723" s="35">
        <f t="shared" si="37"/>
        <v>10000</v>
      </c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56"/>
    </row>
    <row r="724" spans="1:22" x14ac:dyDescent="0.25">
      <c r="A724" s="25">
        <v>713</v>
      </c>
      <c r="B724" s="23"/>
      <c r="C724" s="1" t="s">
        <v>428</v>
      </c>
      <c r="D724" s="23"/>
      <c r="E724" s="2">
        <v>10</v>
      </c>
      <c r="F724" s="8" t="s">
        <v>152</v>
      </c>
      <c r="G724" s="96">
        <v>4350</v>
      </c>
      <c r="H724" s="35">
        <f t="shared" si="37"/>
        <v>43500</v>
      </c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56"/>
    </row>
    <row r="725" spans="1:22" x14ac:dyDescent="0.25">
      <c r="A725" s="25">
        <v>714</v>
      </c>
      <c r="B725" s="23"/>
      <c r="C725" s="1" t="s">
        <v>516</v>
      </c>
      <c r="D725" s="23"/>
      <c r="E725" s="2">
        <v>10</v>
      </c>
      <c r="F725" s="8" t="s">
        <v>152</v>
      </c>
      <c r="G725" s="96">
        <v>900</v>
      </c>
      <c r="H725" s="35">
        <f t="shared" si="37"/>
        <v>9000</v>
      </c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56"/>
    </row>
    <row r="726" spans="1:22" x14ac:dyDescent="0.25">
      <c r="A726" s="25">
        <v>715</v>
      </c>
      <c r="B726" s="23"/>
      <c r="C726" s="1" t="s">
        <v>524</v>
      </c>
      <c r="D726" s="23"/>
      <c r="E726" s="2">
        <v>10</v>
      </c>
      <c r="F726" s="8" t="s">
        <v>447</v>
      </c>
      <c r="G726" s="96">
        <v>1520</v>
      </c>
      <c r="H726" s="35">
        <f t="shared" si="37"/>
        <v>15200</v>
      </c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56"/>
    </row>
    <row r="727" spans="1:22" x14ac:dyDescent="0.25">
      <c r="A727" s="25">
        <v>716</v>
      </c>
      <c r="B727" s="23"/>
      <c r="C727" s="1" t="s">
        <v>448</v>
      </c>
      <c r="D727" s="23"/>
      <c r="E727" s="8">
        <v>10</v>
      </c>
      <c r="F727" s="8" t="s">
        <v>291</v>
      </c>
      <c r="G727" s="96">
        <v>345</v>
      </c>
      <c r="H727" s="35">
        <f t="shared" si="37"/>
        <v>3450</v>
      </c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56"/>
    </row>
    <row r="728" spans="1:22" x14ac:dyDescent="0.25">
      <c r="A728" s="25">
        <v>717</v>
      </c>
      <c r="B728" s="23"/>
      <c r="C728" s="1" t="s">
        <v>526</v>
      </c>
      <c r="D728" s="23"/>
      <c r="E728" s="2">
        <v>10</v>
      </c>
      <c r="F728" s="8" t="s">
        <v>152</v>
      </c>
      <c r="G728" s="96">
        <v>1270</v>
      </c>
      <c r="H728" s="35">
        <f t="shared" si="37"/>
        <v>12700</v>
      </c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56"/>
    </row>
    <row r="729" spans="1:22" x14ac:dyDescent="0.25">
      <c r="A729" s="25">
        <v>718</v>
      </c>
      <c r="B729" s="23"/>
      <c r="C729" s="1" t="s">
        <v>515</v>
      </c>
      <c r="D729" s="23"/>
      <c r="E729" s="2">
        <v>12</v>
      </c>
      <c r="F729" s="8" t="s">
        <v>152</v>
      </c>
      <c r="G729" s="96">
        <v>1310</v>
      </c>
      <c r="H729" s="35">
        <f t="shared" si="37"/>
        <v>15720</v>
      </c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56"/>
    </row>
    <row r="730" spans="1:22" x14ac:dyDescent="0.25">
      <c r="A730" s="25">
        <v>719</v>
      </c>
      <c r="B730" s="23"/>
      <c r="C730" s="1" t="s">
        <v>523</v>
      </c>
      <c r="D730" s="23"/>
      <c r="E730" s="2">
        <v>10</v>
      </c>
      <c r="F730" s="8" t="s">
        <v>152</v>
      </c>
      <c r="G730" s="96">
        <v>1000</v>
      </c>
      <c r="H730" s="35">
        <f t="shared" si="37"/>
        <v>10000</v>
      </c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56"/>
    </row>
    <row r="731" spans="1:22" x14ac:dyDescent="0.25">
      <c r="A731" s="25">
        <v>720</v>
      </c>
      <c r="B731" s="23"/>
      <c r="C731" s="14" t="s">
        <v>80</v>
      </c>
      <c r="D731" s="23"/>
      <c r="E731" s="2"/>
      <c r="F731" s="8"/>
      <c r="G731" s="96"/>
      <c r="H731" s="35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56"/>
    </row>
    <row r="732" spans="1:22" x14ac:dyDescent="0.25">
      <c r="A732" s="25">
        <v>721</v>
      </c>
      <c r="B732" s="23"/>
      <c r="C732" s="1" t="s">
        <v>517</v>
      </c>
      <c r="D732" s="23"/>
      <c r="E732" s="2">
        <v>10</v>
      </c>
      <c r="F732" s="8" t="s">
        <v>152</v>
      </c>
      <c r="G732" s="96">
        <v>8500</v>
      </c>
      <c r="H732" s="35">
        <f>G732*E732</f>
        <v>85000</v>
      </c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56"/>
    </row>
    <row r="733" spans="1:22" x14ac:dyDescent="0.25">
      <c r="A733" s="25">
        <v>722</v>
      </c>
      <c r="B733" s="23"/>
      <c r="C733" s="1" t="s">
        <v>521</v>
      </c>
      <c r="D733" s="23"/>
      <c r="E733" s="2">
        <v>10</v>
      </c>
      <c r="F733" s="8" t="s">
        <v>152</v>
      </c>
      <c r="G733" s="96">
        <v>6100</v>
      </c>
      <c r="H733" s="35">
        <f>G733*E733</f>
        <v>61000</v>
      </c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56"/>
    </row>
    <row r="734" spans="1:22" x14ac:dyDescent="0.25">
      <c r="A734" s="25">
        <v>723</v>
      </c>
      <c r="B734" s="23"/>
      <c r="C734" s="1" t="s">
        <v>522</v>
      </c>
      <c r="D734" s="23"/>
      <c r="E734" s="2">
        <v>10</v>
      </c>
      <c r="F734" s="23" t="s">
        <v>309</v>
      </c>
      <c r="G734" s="96">
        <v>1575</v>
      </c>
      <c r="H734" s="35">
        <f>G734*E734</f>
        <v>15750</v>
      </c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56"/>
    </row>
    <row r="735" spans="1:22" x14ac:dyDescent="0.25">
      <c r="A735" s="25">
        <v>724</v>
      </c>
      <c r="B735" s="23"/>
      <c r="C735" s="1" t="s">
        <v>531</v>
      </c>
      <c r="D735" s="23"/>
      <c r="E735" s="2"/>
      <c r="F735" s="8"/>
      <c r="G735" s="96"/>
      <c r="H735" s="35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56"/>
    </row>
    <row r="736" spans="1:22" x14ac:dyDescent="0.25">
      <c r="A736" s="25">
        <v>725</v>
      </c>
      <c r="B736" s="23"/>
      <c r="C736" s="39" t="s">
        <v>451</v>
      </c>
      <c r="D736" s="23"/>
      <c r="E736" s="36">
        <f>90*5</f>
        <v>450</v>
      </c>
      <c r="F736" s="36" t="s">
        <v>37</v>
      </c>
      <c r="G736" s="91">
        <v>120</v>
      </c>
      <c r="H736" s="35">
        <f>G736*E736</f>
        <v>54000</v>
      </c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56"/>
    </row>
    <row r="737" spans="1:22" x14ac:dyDescent="0.25">
      <c r="A737" s="25">
        <v>726</v>
      </c>
      <c r="B737" s="23"/>
      <c r="C737" s="39" t="s">
        <v>346</v>
      </c>
      <c r="D737" s="23"/>
      <c r="E737" s="36">
        <f t="shared" ref="E737:E738" si="38">90*5</f>
        <v>450</v>
      </c>
      <c r="F737" s="36" t="s">
        <v>37</v>
      </c>
      <c r="G737" s="91">
        <v>180</v>
      </c>
      <c r="H737" s="35">
        <f>G737*E737</f>
        <v>81000</v>
      </c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56"/>
    </row>
    <row r="738" spans="1:22" x14ac:dyDescent="0.25">
      <c r="A738" s="25">
        <v>727</v>
      </c>
      <c r="B738" s="23"/>
      <c r="C738" s="39" t="s">
        <v>530</v>
      </c>
      <c r="D738" s="23"/>
      <c r="E738" s="36">
        <f t="shared" si="38"/>
        <v>450</v>
      </c>
      <c r="F738" s="36" t="s">
        <v>37</v>
      </c>
      <c r="G738" s="91">
        <v>120</v>
      </c>
      <c r="H738" s="35">
        <f>G738*E738</f>
        <v>54000</v>
      </c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56"/>
    </row>
    <row r="739" spans="1:22" x14ac:dyDescent="0.25">
      <c r="A739" s="25">
        <v>728</v>
      </c>
      <c r="B739" s="23"/>
      <c r="C739" s="14" t="s">
        <v>527</v>
      </c>
      <c r="D739" s="23"/>
      <c r="E739" s="36"/>
      <c r="F739" s="36"/>
      <c r="G739" s="108"/>
      <c r="H739" s="35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56"/>
    </row>
    <row r="740" spans="1:22" x14ac:dyDescent="0.25">
      <c r="A740" s="25">
        <v>729</v>
      </c>
      <c r="B740" s="23"/>
      <c r="C740" s="1" t="s">
        <v>254</v>
      </c>
      <c r="D740" s="23"/>
      <c r="E740" s="2">
        <f>5*3</f>
        <v>15</v>
      </c>
      <c r="F740" s="23" t="s">
        <v>309</v>
      </c>
      <c r="G740" s="96">
        <v>105</v>
      </c>
      <c r="H740" s="35">
        <f>G740*E740</f>
        <v>1575</v>
      </c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56"/>
    </row>
    <row r="741" spans="1:22" x14ac:dyDescent="0.25">
      <c r="A741" s="25">
        <v>730</v>
      </c>
      <c r="B741" s="23"/>
      <c r="C741" s="1" t="s">
        <v>287</v>
      </c>
      <c r="D741" s="23"/>
      <c r="E741" s="8">
        <f>5*3</f>
        <v>15</v>
      </c>
      <c r="F741" s="8" t="s">
        <v>152</v>
      </c>
      <c r="G741" s="96">
        <v>25</v>
      </c>
      <c r="H741" s="35">
        <f>G741*E741</f>
        <v>375</v>
      </c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56"/>
    </row>
    <row r="742" spans="1:22" x14ac:dyDescent="0.25">
      <c r="A742" s="25">
        <v>731</v>
      </c>
      <c r="B742" s="23"/>
      <c r="C742" s="1" t="s">
        <v>288</v>
      </c>
      <c r="D742" s="23"/>
      <c r="E742" s="8">
        <f>3*3</f>
        <v>9</v>
      </c>
      <c r="F742" s="8" t="s">
        <v>290</v>
      </c>
      <c r="G742" s="96">
        <v>235</v>
      </c>
      <c r="H742" s="35">
        <f>G742*E742</f>
        <v>2115</v>
      </c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56"/>
    </row>
    <row r="743" spans="1:22" x14ac:dyDescent="0.25">
      <c r="A743" s="25">
        <v>732</v>
      </c>
      <c r="B743" s="23"/>
      <c r="C743" s="1" t="s">
        <v>289</v>
      </c>
      <c r="D743" s="23"/>
      <c r="E743" s="8">
        <f>4*3</f>
        <v>12</v>
      </c>
      <c r="F743" s="8" t="s">
        <v>291</v>
      </c>
      <c r="G743" s="96">
        <v>380</v>
      </c>
      <c r="H743" s="35">
        <f>G743*E743</f>
        <v>4560</v>
      </c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56"/>
    </row>
    <row r="744" spans="1:22" x14ac:dyDescent="0.25">
      <c r="A744" s="25">
        <v>733</v>
      </c>
      <c r="B744" s="23"/>
      <c r="C744" s="1" t="s">
        <v>529</v>
      </c>
      <c r="D744" s="23"/>
      <c r="E744" s="8"/>
      <c r="F744" s="8"/>
      <c r="G744" s="96"/>
      <c r="H744" s="35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56"/>
    </row>
    <row r="745" spans="1:22" x14ac:dyDescent="0.25">
      <c r="A745" s="25">
        <v>734</v>
      </c>
      <c r="B745" s="23"/>
      <c r="C745" s="39" t="s">
        <v>528</v>
      </c>
      <c r="D745" s="23"/>
      <c r="E745" s="36">
        <f>35*6</f>
        <v>210</v>
      </c>
      <c r="F745" s="36" t="s">
        <v>37</v>
      </c>
      <c r="G745" s="91">
        <v>120</v>
      </c>
      <c r="H745" s="35">
        <f>G745*E745</f>
        <v>25200</v>
      </c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56"/>
    </row>
    <row r="746" spans="1:22" x14ac:dyDescent="0.25">
      <c r="A746" s="25">
        <v>735</v>
      </c>
      <c r="B746" s="23"/>
      <c r="C746" s="39" t="s">
        <v>247</v>
      </c>
      <c r="D746" s="23"/>
      <c r="E746" s="36">
        <f t="shared" ref="E746:E747" si="39">35*6</f>
        <v>210</v>
      </c>
      <c r="F746" s="36" t="s">
        <v>37</v>
      </c>
      <c r="G746" s="91">
        <v>180</v>
      </c>
      <c r="H746" s="35">
        <f>G746*E746</f>
        <v>37800</v>
      </c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56"/>
    </row>
    <row r="747" spans="1:22" x14ac:dyDescent="0.25">
      <c r="A747" s="25">
        <v>736</v>
      </c>
      <c r="B747" s="23"/>
      <c r="C747" s="39" t="s">
        <v>530</v>
      </c>
      <c r="D747" s="23"/>
      <c r="E747" s="36">
        <f t="shared" si="39"/>
        <v>210</v>
      </c>
      <c r="F747" s="36" t="s">
        <v>37</v>
      </c>
      <c r="G747" s="91">
        <v>120</v>
      </c>
      <c r="H747" s="35">
        <f>G747*E747</f>
        <v>25200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56"/>
    </row>
    <row r="748" spans="1:22" x14ac:dyDescent="0.25">
      <c r="A748" s="25">
        <v>737</v>
      </c>
      <c r="B748" s="23"/>
      <c r="C748" s="14"/>
      <c r="D748" s="23"/>
      <c r="E748" s="84"/>
      <c r="F748" s="23"/>
      <c r="G748" s="165"/>
      <c r="H748" s="165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56"/>
    </row>
    <row r="749" spans="1:22" ht="30" x14ac:dyDescent="0.25">
      <c r="A749" s="25">
        <v>738</v>
      </c>
      <c r="B749" s="89" t="s">
        <v>61</v>
      </c>
      <c r="C749" s="90" t="s">
        <v>29</v>
      </c>
      <c r="D749" s="89" t="s">
        <v>27</v>
      </c>
      <c r="E749" s="89"/>
      <c r="F749" s="89"/>
      <c r="G749" s="163"/>
      <c r="H749" s="167">
        <v>297300</v>
      </c>
      <c r="I749" s="89" t="s">
        <v>52</v>
      </c>
      <c r="J749" s="60"/>
      <c r="K749" s="60"/>
      <c r="L749" s="60"/>
      <c r="M749" s="60">
        <v>2</v>
      </c>
      <c r="N749" s="60"/>
      <c r="O749" s="60"/>
      <c r="P749" s="60"/>
      <c r="Q749" s="60">
        <v>1</v>
      </c>
      <c r="R749" s="60"/>
      <c r="S749" s="60"/>
      <c r="T749" s="60">
        <v>1</v>
      </c>
      <c r="U749" s="60"/>
      <c r="V749" s="56"/>
    </row>
    <row r="750" spans="1:22" x14ac:dyDescent="0.25">
      <c r="A750" s="25">
        <v>739</v>
      </c>
      <c r="B750" s="23"/>
      <c r="C750" s="14" t="s">
        <v>55</v>
      </c>
      <c r="D750" s="23"/>
      <c r="E750" s="84"/>
      <c r="F750" s="23"/>
      <c r="G750" s="165"/>
      <c r="H750" s="165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56"/>
    </row>
    <row r="751" spans="1:22" x14ac:dyDescent="0.25">
      <c r="A751" s="25">
        <v>740</v>
      </c>
      <c r="B751" s="23"/>
      <c r="C751" s="63" t="s">
        <v>304</v>
      </c>
      <c r="D751" s="23"/>
      <c r="E751" s="64">
        <v>40</v>
      </c>
      <c r="F751" s="23" t="s">
        <v>309</v>
      </c>
      <c r="G751" s="168">
        <v>50</v>
      </c>
      <c r="H751" s="165">
        <f>E751*G751</f>
        <v>2000</v>
      </c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56"/>
    </row>
    <row r="752" spans="1:22" x14ac:dyDescent="0.25">
      <c r="A752" s="25">
        <v>741</v>
      </c>
      <c r="B752" s="23"/>
      <c r="C752" s="63" t="s">
        <v>278</v>
      </c>
      <c r="D752" s="23"/>
      <c r="E752" s="64">
        <v>200</v>
      </c>
      <c r="F752" s="64" t="s">
        <v>152</v>
      </c>
      <c r="G752" s="168">
        <v>14.4</v>
      </c>
      <c r="H752" s="165">
        <f t="shared" ref="H752:H760" si="40">E752*G752</f>
        <v>2880</v>
      </c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56"/>
    </row>
    <row r="753" spans="1:22" x14ac:dyDescent="0.25">
      <c r="A753" s="25">
        <v>742</v>
      </c>
      <c r="B753" s="23"/>
      <c r="C753" s="63" t="s">
        <v>305</v>
      </c>
      <c r="D753" s="23"/>
      <c r="E753" s="64">
        <v>200</v>
      </c>
      <c r="F753" s="64" t="s">
        <v>152</v>
      </c>
      <c r="G753" s="168">
        <v>9.6</v>
      </c>
      <c r="H753" s="165">
        <f t="shared" si="40"/>
        <v>1920</v>
      </c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56"/>
    </row>
    <row r="754" spans="1:22" x14ac:dyDescent="0.25">
      <c r="A754" s="25">
        <v>743</v>
      </c>
      <c r="B754" s="23"/>
      <c r="C754" s="63" t="s">
        <v>306</v>
      </c>
      <c r="D754" s="23"/>
      <c r="E754" s="64">
        <v>50</v>
      </c>
      <c r="F754" s="25" t="s">
        <v>310</v>
      </c>
      <c r="G754" s="168">
        <v>34</v>
      </c>
      <c r="H754" s="165">
        <f>E754*G754</f>
        <v>1700</v>
      </c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56"/>
    </row>
    <row r="755" spans="1:22" x14ac:dyDescent="0.25">
      <c r="A755" s="25">
        <v>744</v>
      </c>
      <c r="B755" s="23"/>
      <c r="C755" s="63" t="s">
        <v>307</v>
      </c>
      <c r="D755" s="23"/>
      <c r="E755" s="64">
        <v>20</v>
      </c>
      <c r="F755" s="23" t="s">
        <v>309</v>
      </c>
      <c r="G755" s="168">
        <v>350</v>
      </c>
      <c r="H755" s="165">
        <f>E755*G755</f>
        <v>7000</v>
      </c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56"/>
    </row>
    <row r="756" spans="1:22" x14ac:dyDescent="0.25">
      <c r="A756" s="25">
        <v>745</v>
      </c>
      <c r="B756" s="23"/>
      <c r="C756" s="63" t="s">
        <v>308</v>
      </c>
      <c r="D756" s="23"/>
      <c r="E756" s="64">
        <v>100</v>
      </c>
      <c r="F756" s="25" t="s">
        <v>310</v>
      </c>
      <c r="G756" s="168">
        <v>175</v>
      </c>
      <c r="H756" s="165">
        <f>E756*G756</f>
        <v>17500</v>
      </c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56"/>
    </row>
    <row r="757" spans="1:22" x14ac:dyDescent="0.25">
      <c r="A757" s="25">
        <v>746</v>
      </c>
      <c r="B757" s="23"/>
      <c r="C757" s="14" t="s">
        <v>56</v>
      </c>
      <c r="D757" s="23"/>
      <c r="E757" s="64"/>
      <c r="F757" s="64"/>
      <c r="G757" s="168"/>
      <c r="H757" s="165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56"/>
    </row>
    <row r="758" spans="1:22" x14ac:dyDescent="0.25">
      <c r="A758" s="25">
        <v>747</v>
      </c>
      <c r="B758" s="23"/>
      <c r="C758" s="63" t="s">
        <v>728</v>
      </c>
      <c r="D758" s="23"/>
      <c r="E758" s="64">
        <v>2</v>
      </c>
      <c r="F758" s="64" t="s">
        <v>734</v>
      </c>
      <c r="G758" s="168">
        <v>650</v>
      </c>
      <c r="H758" s="165">
        <f t="shared" si="40"/>
        <v>1300</v>
      </c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56"/>
    </row>
    <row r="759" spans="1:22" x14ac:dyDescent="0.25">
      <c r="A759" s="25">
        <v>748</v>
      </c>
      <c r="B759" s="8"/>
      <c r="C759" s="1" t="s">
        <v>342</v>
      </c>
      <c r="D759" s="8"/>
      <c r="E759" s="8"/>
      <c r="F759" s="8"/>
      <c r="G759" s="178"/>
      <c r="H759" s="17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56"/>
    </row>
    <row r="760" spans="1:22" x14ac:dyDescent="0.25">
      <c r="A760" s="25">
        <v>749</v>
      </c>
      <c r="B760" s="23"/>
      <c r="C760" s="63" t="s">
        <v>729</v>
      </c>
      <c r="D760" s="23"/>
      <c r="E760" s="64">
        <v>2</v>
      </c>
      <c r="F760" s="64" t="s">
        <v>37</v>
      </c>
      <c r="G760" s="168">
        <v>7500</v>
      </c>
      <c r="H760" s="165">
        <f t="shared" si="40"/>
        <v>15000</v>
      </c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56"/>
    </row>
    <row r="761" spans="1:22" x14ac:dyDescent="0.25">
      <c r="A761" s="25">
        <v>750</v>
      </c>
      <c r="B761" s="23"/>
      <c r="C761" s="63" t="s">
        <v>54</v>
      </c>
      <c r="D761" s="23"/>
      <c r="E761" s="64"/>
      <c r="F761" s="64"/>
      <c r="G761" s="168"/>
      <c r="H761" s="165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56"/>
    </row>
    <row r="762" spans="1:22" x14ac:dyDescent="0.25">
      <c r="A762" s="25">
        <v>751</v>
      </c>
      <c r="B762" s="23"/>
      <c r="C762" s="63" t="s">
        <v>730</v>
      </c>
      <c r="D762" s="23"/>
      <c r="E762" s="64"/>
      <c r="F762" s="64"/>
      <c r="G762" s="168"/>
      <c r="H762" s="165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56"/>
    </row>
    <row r="763" spans="1:22" x14ac:dyDescent="0.25">
      <c r="A763" s="25">
        <v>752</v>
      </c>
      <c r="B763" s="23"/>
      <c r="C763" s="63" t="s">
        <v>354</v>
      </c>
      <c r="D763" s="23"/>
      <c r="E763" s="64">
        <f>100*2</f>
        <v>200</v>
      </c>
      <c r="F763" s="64" t="s">
        <v>37</v>
      </c>
      <c r="G763" s="168">
        <v>120</v>
      </c>
      <c r="H763" s="165">
        <f>E763*G763</f>
        <v>24000</v>
      </c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56"/>
    </row>
    <row r="764" spans="1:22" x14ac:dyDescent="0.25">
      <c r="A764" s="25">
        <v>753</v>
      </c>
      <c r="B764" s="23"/>
      <c r="C764" s="63" t="s">
        <v>247</v>
      </c>
      <c r="D764" s="23"/>
      <c r="E764" s="64">
        <f t="shared" ref="E764:E765" si="41">100*2</f>
        <v>200</v>
      </c>
      <c r="F764" s="64" t="s">
        <v>37</v>
      </c>
      <c r="G764" s="168">
        <v>180</v>
      </c>
      <c r="H764" s="165">
        <f>E764*G764</f>
        <v>36000</v>
      </c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56"/>
    </row>
    <row r="765" spans="1:22" x14ac:dyDescent="0.25">
      <c r="A765" s="25">
        <v>754</v>
      </c>
      <c r="B765" s="23"/>
      <c r="C765" s="63" t="s">
        <v>302</v>
      </c>
      <c r="D765" s="23"/>
      <c r="E765" s="64">
        <f t="shared" si="41"/>
        <v>200</v>
      </c>
      <c r="F765" s="64" t="s">
        <v>37</v>
      </c>
      <c r="G765" s="168">
        <v>120</v>
      </c>
      <c r="H765" s="165">
        <f>E765*G765</f>
        <v>24000</v>
      </c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56"/>
    </row>
    <row r="766" spans="1:22" x14ac:dyDescent="0.25">
      <c r="A766" s="25">
        <v>755</v>
      </c>
      <c r="B766" s="23"/>
      <c r="C766" s="63" t="s">
        <v>731</v>
      </c>
      <c r="D766" s="23"/>
      <c r="E766" s="64"/>
      <c r="F766" s="64"/>
      <c r="G766" s="168"/>
      <c r="H766" s="165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56"/>
    </row>
    <row r="767" spans="1:22" x14ac:dyDescent="0.25">
      <c r="A767" s="25">
        <v>756</v>
      </c>
      <c r="B767" s="23"/>
      <c r="C767" s="63" t="s">
        <v>354</v>
      </c>
      <c r="D767" s="23"/>
      <c r="E767" s="64">
        <f>100*2</f>
        <v>200</v>
      </c>
      <c r="F767" s="64" t="s">
        <v>37</v>
      </c>
      <c r="G767" s="168">
        <v>120</v>
      </c>
      <c r="H767" s="165">
        <f>E767*G767</f>
        <v>24000</v>
      </c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56"/>
    </row>
    <row r="768" spans="1:22" x14ac:dyDescent="0.25">
      <c r="A768" s="25">
        <v>757</v>
      </c>
      <c r="B768" s="23"/>
      <c r="C768" s="63" t="s">
        <v>247</v>
      </c>
      <c r="D768" s="23"/>
      <c r="E768" s="64">
        <f>100*2</f>
        <v>200</v>
      </c>
      <c r="F768" s="64" t="s">
        <v>37</v>
      </c>
      <c r="G768" s="168">
        <v>180</v>
      </c>
      <c r="H768" s="165">
        <f t="shared" ref="H768:H771" si="42">E768*G768</f>
        <v>36000</v>
      </c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56"/>
    </row>
    <row r="769" spans="1:22" x14ac:dyDescent="0.25">
      <c r="A769" s="25">
        <v>758</v>
      </c>
      <c r="B769" s="23"/>
      <c r="C769" s="63" t="s">
        <v>302</v>
      </c>
      <c r="D769" s="23"/>
      <c r="E769" s="64">
        <f>100*2</f>
        <v>200</v>
      </c>
      <c r="F769" s="64" t="s">
        <v>37</v>
      </c>
      <c r="G769" s="168">
        <v>120</v>
      </c>
      <c r="H769" s="165">
        <f t="shared" si="42"/>
        <v>24000</v>
      </c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56"/>
    </row>
    <row r="770" spans="1:22" x14ac:dyDescent="0.25">
      <c r="A770" s="25">
        <v>759</v>
      </c>
      <c r="B770" s="23"/>
      <c r="C770" s="63" t="s">
        <v>732</v>
      </c>
      <c r="D770" s="23"/>
      <c r="E770" s="64">
        <f>40*2</f>
        <v>80</v>
      </c>
      <c r="F770" s="64" t="s">
        <v>37</v>
      </c>
      <c r="G770" s="168">
        <v>500</v>
      </c>
      <c r="H770" s="165">
        <f t="shared" si="42"/>
        <v>40000</v>
      </c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56"/>
    </row>
    <row r="771" spans="1:22" x14ac:dyDescent="0.25">
      <c r="A771" s="25">
        <v>760</v>
      </c>
      <c r="B771" s="23"/>
      <c r="C771" s="63" t="s">
        <v>733</v>
      </c>
      <c r="D771" s="23"/>
      <c r="E771" s="64">
        <f>40*2</f>
        <v>80</v>
      </c>
      <c r="F771" s="64" t="s">
        <v>37</v>
      </c>
      <c r="G771" s="168">
        <v>500</v>
      </c>
      <c r="H771" s="165">
        <f t="shared" si="42"/>
        <v>40000</v>
      </c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56"/>
    </row>
    <row r="772" spans="1:22" x14ac:dyDescent="0.25">
      <c r="A772" s="25">
        <v>761</v>
      </c>
      <c r="B772" s="23"/>
      <c r="C772" s="14"/>
      <c r="D772" s="23"/>
      <c r="E772" s="84"/>
      <c r="F772" s="23"/>
      <c r="G772" s="165"/>
      <c r="H772" s="165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56"/>
    </row>
    <row r="773" spans="1:22" ht="30" x14ac:dyDescent="0.25">
      <c r="A773" s="25">
        <v>762</v>
      </c>
      <c r="B773" s="89" t="s">
        <v>61</v>
      </c>
      <c r="C773" s="90" t="s">
        <v>84</v>
      </c>
      <c r="D773" s="89" t="s">
        <v>27</v>
      </c>
      <c r="E773" s="89"/>
      <c r="F773" s="89"/>
      <c r="G773" s="163"/>
      <c r="H773" s="167">
        <v>425250</v>
      </c>
      <c r="I773" s="89" t="s">
        <v>52</v>
      </c>
      <c r="J773" s="60"/>
      <c r="K773" s="60"/>
      <c r="L773" s="60"/>
      <c r="M773" s="60">
        <v>3</v>
      </c>
      <c r="N773" s="60"/>
      <c r="O773" s="60"/>
      <c r="P773" s="60">
        <v>1</v>
      </c>
      <c r="Q773" s="60"/>
      <c r="R773" s="60"/>
      <c r="S773" s="60"/>
      <c r="T773" s="60"/>
      <c r="U773" s="60"/>
      <c r="V773" s="56"/>
    </row>
    <row r="774" spans="1:22" x14ac:dyDescent="0.25">
      <c r="A774" s="25">
        <v>763</v>
      </c>
      <c r="B774" s="23"/>
      <c r="C774" s="14" t="s">
        <v>535</v>
      </c>
      <c r="D774" s="23"/>
      <c r="E774" s="84"/>
      <c r="F774" s="23"/>
      <c r="G774" s="165"/>
      <c r="H774" s="165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56"/>
    </row>
    <row r="775" spans="1:22" x14ac:dyDescent="0.25">
      <c r="A775" s="25">
        <v>764</v>
      </c>
      <c r="B775" s="23"/>
      <c r="C775" s="14" t="s">
        <v>354</v>
      </c>
      <c r="D775" s="23"/>
      <c r="E775" s="33">
        <f>15*33</f>
        <v>495</v>
      </c>
      <c r="F775" s="33" t="s">
        <v>37</v>
      </c>
      <c r="G775" s="15">
        <v>120</v>
      </c>
      <c r="H775" s="165">
        <f>E775*G775</f>
        <v>59400</v>
      </c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56"/>
    </row>
    <row r="776" spans="1:22" x14ac:dyDescent="0.25">
      <c r="A776" s="25">
        <v>765</v>
      </c>
      <c r="B776" s="23"/>
      <c r="C776" s="14" t="s">
        <v>247</v>
      </c>
      <c r="D776" s="23"/>
      <c r="E776" s="33">
        <f t="shared" ref="E776:E777" si="43">15*33</f>
        <v>495</v>
      </c>
      <c r="F776" s="33" t="s">
        <v>37</v>
      </c>
      <c r="G776" s="15">
        <v>180</v>
      </c>
      <c r="H776" s="165">
        <f t="shared" ref="H776:H777" si="44">E776*G776</f>
        <v>89100</v>
      </c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56"/>
    </row>
    <row r="777" spans="1:22" x14ac:dyDescent="0.25">
      <c r="A777" s="25">
        <v>766</v>
      </c>
      <c r="B777" s="23"/>
      <c r="C777" s="14" t="s">
        <v>302</v>
      </c>
      <c r="D777" s="23"/>
      <c r="E777" s="33">
        <f t="shared" si="43"/>
        <v>495</v>
      </c>
      <c r="F777" s="33" t="s">
        <v>37</v>
      </c>
      <c r="G777" s="15">
        <v>120</v>
      </c>
      <c r="H777" s="165">
        <f t="shared" si="44"/>
        <v>59400</v>
      </c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56"/>
    </row>
    <row r="778" spans="1:22" x14ac:dyDescent="0.25">
      <c r="A778" s="25">
        <v>767</v>
      </c>
      <c r="B778" s="23"/>
      <c r="C778" s="14" t="s">
        <v>536</v>
      </c>
      <c r="D778" s="23"/>
      <c r="E778" s="84"/>
      <c r="F778" s="23"/>
      <c r="G778" s="165"/>
      <c r="H778" s="165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56"/>
    </row>
    <row r="779" spans="1:22" x14ac:dyDescent="0.25">
      <c r="A779" s="25">
        <v>768</v>
      </c>
      <c r="B779" s="23"/>
      <c r="C779" s="11" t="s">
        <v>532</v>
      </c>
      <c r="D779" s="23"/>
      <c r="E779" s="2">
        <f>5*33</f>
        <v>165</v>
      </c>
      <c r="F779" s="2" t="s">
        <v>290</v>
      </c>
      <c r="G779" s="12">
        <v>340</v>
      </c>
      <c r="H779" s="165">
        <f>E779*G779</f>
        <v>56100</v>
      </c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56"/>
    </row>
    <row r="780" spans="1:22" x14ac:dyDescent="0.25">
      <c r="A780" s="25">
        <v>769</v>
      </c>
      <c r="B780" s="23"/>
      <c r="C780" s="11" t="s">
        <v>533</v>
      </c>
      <c r="D780" s="23"/>
      <c r="E780" s="2">
        <f>5*33</f>
        <v>165</v>
      </c>
      <c r="F780" s="2" t="s">
        <v>567</v>
      </c>
      <c r="G780" s="12">
        <v>340</v>
      </c>
      <c r="H780" s="165">
        <f t="shared" ref="H780:H782" si="45">E780*G780</f>
        <v>56100</v>
      </c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56"/>
    </row>
    <row r="781" spans="1:22" x14ac:dyDescent="0.25">
      <c r="A781" s="25">
        <v>770</v>
      </c>
      <c r="B781" s="23"/>
      <c r="C781" s="11" t="s">
        <v>534</v>
      </c>
      <c r="D781" s="23"/>
      <c r="E781" s="2">
        <f>10*33</f>
        <v>330</v>
      </c>
      <c r="F781" s="2" t="s">
        <v>152</v>
      </c>
      <c r="G781" s="12">
        <v>30</v>
      </c>
      <c r="H781" s="165">
        <f t="shared" si="45"/>
        <v>9900</v>
      </c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56"/>
    </row>
    <row r="782" spans="1:22" x14ac:dyDescent="0.25">
      <c r="A782" s="25">
        <v>771</v>
      </c>
      <c r="B782" s="23"/>
      <c r="C782" s="11" t="s">
        <v>386</v>
      </c>
      <c r="D782" s="23"/>
      <c r="E782" s="2">
        <f>3</f>
        <v>3</v>
      </c>
      <c r="F782" s="2" t="s">
        <v>152</v>
      </c>
      <c r="G782" s="168">
        <v>1115</v>
      </c>
      <c r="H782" s="165">
        <f t="shared" si="45"/>
        <v>3345</v>
      </c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56"/>
    </row>
    <row r="783" spans="1:22" x14ac:dyDescent="0.25">
      <c r="A783" s="25">
        <v>772</v>
      </c>
      <c r="B783" s="23"/>
      <c r="C783" s="14" t="s">
        <v>540</v>
      </c>
      <c r="D783" s="23"/>
      <c r="E783" s="84"/>
      <c r="F783" s="23"/>
      <c r="G783" s="165"/>
      <c r="H783" s="165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56"/>
    </row>
    <row r="784" spans="1:22" x14ac:dyDescent="0.25">
      <c r="A784" s="25">
        <v>773</v>
      </c>
      <c r="B784" s="23"/>
      <c r="C784" s="14" t="s">
        <v>354</v>
      </c>
      <c r="D784" s="23"/>
      <c r="E784" s="33">
        <f>30*4</f>
        <v>120</v>
      </c>
      <c r="F784" s="33" t="s">
        <v>37</v>
      </c>
      <c r="G784" s="15">
        <v>120</v>
      </c>
      <c r="H784" s="165">
        <f>E784*G784</f>
        <v>14400</v>
      </c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56"/>
    </row>
    <row r="785" spans="1:22" x14ac:dyDescent="0.25">
      <c r="A785" s="25">
        <v>774</v>
      </c>
      <c r="B785" s="23"/>
      <c r="C785" s="14" t="s">
        <v>247</v>
      </c>
      <c r="D785" s="23"/>
      <c r="E785" s="33">
        <f t="shared" ref="E785:E786" si="46">30*4</f>
        <v>120</v>
      </c>
      <c r="F785" s="33" t="s">
        <v>37</v>
      </c>
      <c r="G785" s="15">
        <v>180</v>
      </c>
      <c r="H785" s="165">
        <f>E785*G785</f>
        <v>21600</v>
      </c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56"/>
    </row>
    <row r="786" spans="1:22" x14ac:dyDescent="0.25">
      <c r="A786" s="25">
        <v>775</v>
      </c>
      <c r="B786" s="23"/>
      <c r="C786" s="14" t="s">
        <v>302</v>
      </c>
      <c r="D786" s="23"/>
      <c r="E786" s="33">
        <f t="shared" si="46"/>
        <v>120</v>
      </c>
      <c r="F786" s="33" t="s">
        <v>37</v>
      </c>
      <c r="G786" s="15">
        <v>120</v>
      </c>
      <c r="H786" s="165">
        <f>E786*G786</f>
        <v>14400</v>
      </c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56"/>
    </row>
    <row r="787" spans="1:22" x14ac:dyDescent="0.25">
      <c r="A787" s="25">
        <v>776</v>
      </c>
      <c r="B787" s="23"/>
      <c r="C787" s="14" t="s">
        <v>55</v>
      </c>
      <c r="D787" s="23"/>
      <c r="E787" s="84"/>
      <c r="F787" s="23"/>
      <c r="G787" s="165"/>
      <c r="H787" s="165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56"/>
    </row>
    <row r="788" spans="1:22" x14ac:dyDescent="0.25">
      <c r="A788" s="25">
        <v>777</v>
      </c>
      <c r="B788" s="23"/>
      <c r="C788" s="11" t="s">
        <v>532</v>
      </c>
      <c r="D788" s="23"/>
      <c r="E788" s="2">
        <v>10</v>
      </c>
      <c r="F788" s="2" t="s">
        <v>290</v>
      </c>
      <c r="G788" s="12">
        <v>375</v>
      </c>
      <c r="H788" s="165">
        <f t="shared" ref="H788:H793" si="47">E788*G788</f>
        <v>3750</v>
      </c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56"/>
    </row>
    <row r="789" spans="1:22" x14ac:dyDescent="0.25">
      <c r="A789" s="25">
        <v>778</v>
      </c>
      <c r="B789" s="23"/>
      <c r="C789" s="11" t="s">
        <v>537</v>
      </c>
      <c r="D789" s="23"/>
      <c r="E789" s="2">
        <v>30</v>
      </c>
      <c r="F789" s="23" t="s">
        <v>309</v>
      </c>
      <c r="G789" s="12">
        <v>420</v>
      </c>
      <c r="H789" s="165">
        <f t="shared" si="47"/>
        <v>12600</v>
      </c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56"/>
    </row>
    <row r="790" spans="1:22" x14ac:dyDescent="0.25">
      <c r="A790" s="25">
        <v>779</v>
      </c>
      <c r="B790" s="23"/>
      <c r="C790" s="11" t="s">
        <v>538</v>
      </c>
      <c r="D790" s="23"/>
      <c r="E790" s="2">
        <v>15</v>
      </c>
      <c r="F790" s="2" t="s">
        <v>152</v>
      </c>
      <c r="G790" s="12">
        <v>55</v>
      </c>
      <c r="H790" s="165">
        <f t="shared" si="47"/>
        <v>825</v>
      </c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56"/>
    </row>
    <row r="791" spans="1:22" x14ac:dyDescent="0.25">
      <c r="A791" s="25">
        <v>780</v>
      </c>
      <c r="B791" s="23"/>
      <c r="C791" s="11" t="s">
        <v>533</v>
      </c>
      <c r="D791" s="23"/>
      <c r="E791" s="2">
        <v>10</v>
      </c>
      <c r="F791" s="2" t="s">
        <v>567</v>
      </c>
      <c r="G791" s="12">
        <v>375</v>
      </c>
      <c r="H791" s="165">
        <f t="shared" si="47"/>
        <v>3750</v>
      </c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56"/>
    </row>
    <row r="792" spans="1:22" x14ac:dyDescent="0.25">
      <c r="A792" s="25">
        <v>781</v>
      </c>
      <c r="B792" s="23"/>
      <c r="C792" s="11" t="s">
        <v>539</v>
      </c>
      <c r="D792" s="23"/>
      <c r="E792" s="2">
        <v>50</v>
      </c>
      <c r="F792" s="2" t="s">
        <v>152</v>
      </c>
      <c r="G792" s="12">
        <v>7.5</v>
      </c>
      <c r="H792" s="165">
        <f t="shared" si="47"/>
        <v>375</v>
      </c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56"/>
    </row>
    <row r="793" spans="1:22" x14ac:dyDescent="0.25">
      <c r="A793" s="25">
        <v>782</v>
      </c>
      <c r="B793" s="23"/>
      <c r="C793" s="11" t="s">
        <v>534</v>
      </c>
      <c r="D793" s="23"/>
      <c r="E793" s="2">
        <v>40</v>
      </c>
      <c r="F793" s="2" t="s">
        <v>152</v>
      </c>
      <c r="G793" s="12">
        <v>42</v>
      </c>
      <c r="H793" s="165">
        <f t="shared" si="47"/>
        <v>1680</v>
      </c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56"/>
    </row>
    <row r="794" spans="1:22" x14ac:dyDescent="0.25">
      <c r="A794" s="25">
        <v>783</v>
      </c>
      <c r="B794" s="23"/>
      <c r="C794" s="14" t="s">
        <v>71</v>
      </c>
      <c r="D794" s="23"/>
      <c r="E794" s="84"/>
      <c r="F794" s="23"/>
      <c r="G794" s="165"/>
      <c r="H794" s="165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56"/>
    </row>
    <row r="795" spans="1:22" x14ac:dyDescent="0.25">
      <c r="A795" s="25">
        <v>784</v>
      </c>
      <c r="B795" s="23"/>
      <c r="C795" s="16" t="s">
        <v>504</v>
      </c>
      <c r="D795" s="23"/>
      <c r="E795" s="33">
        <v>15</v>
      </c>
      <c r="F795" s="23" t="s">
        <v>567</v>
      </c>
      <c r="G795" s="17">
        <v>550</v>
      </c>
      <c r="H795" s="165">
        <f>E795*G795</f>
        <v>8250</v>
      </c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56"/>
    </row>
    <row r="796" spans="1:22" x14ac:dyDescent="0.25">
      <c r="A796" s="25">
        <v>785</v>
      </c>
      <c r="B796" s="23"/>
      <c r="C796" s="16" t="s">
        <v>541</v>
      </c>
      <c r="D796" s="23"/>
      <c r="E796" s="33">
        <v>15</v>
      </c>
      <c r="F796" s="23" t="s">
        <v>567</v>
      </c>
      <c r="G796" s="17">
        <v>685</v>
      </c>
      <c r="H796" s="165">
        <f>E796*G796</f>
        <v>10275</v>
      </c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56"/>
    </row>
    <row r="797" spans="1:22" x14ac:dyDescent="0.25">
      <c r="A797" s="25">
        <v>786</v>
      </c>
      <c r="B797" s="23"/>
      <c r="C797" s="14"/>
      <c r="D797" s="23"/>
      <c r="E797" s="84"/>
      <c r="F797" s="23"/>
      <c r="G797" s="165"/>
      <c r="H797" s="165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56"/>
    </row>
    <row r="798" spans="1:22" ht="30" x14ac:dyDescent="0.25">
      <c r="A798" s="25">
        <v>787</v>
      </c>
      <c r="B798" s="89" t="s">
        <v>61</v>
      </c>
      <c r="C798" s="90" t="s">
        <v>85</v>
      </c>
      <c r="D798" s="89" t="s">
        <v>27</v>
      </c>
      <c r="E798" s="89"/>
      <c r="F798" s="89"/>
      <c r="G798" s="163"/>
      <c r="H798" s="167">
        <v>1500000</v>
      </c>
      <c r="I798" s="89" t="s">
        <v>52</v>
      </c>
      <c r="J798" s="60"/>
      <c r="K798" s="60"/>
      <c r="L798" s="60"/>
      <c r="M798" s="60">
        <v>3</v>
      </c>
      <c r="N798" s="60"/>
      <c r="O798" s="60"/>
      <c r="P798" s="60"/>
      <c r="Q798" s="60">
        <v>1</v>
      </c>
      <c r="R798" s="60"/>
      <c r="S798" s="60"/>
      <c r="T798" s="60">
        <v>1</v>
      </c>
      <c r="U798" s="60"/>
      <c r="V798" s="56"/>
    </row>
    <row r="799" spans="1:22" x14ac:dyDescent="0.25">
      <c r="A799" s="25">
        <v>788</v>
      </c>
      <c r="B799" s="23"/>
      <c r="C799" s="14" t="s">
        <v>58</v>
      </c>
      <c r="D799" s="23"/>
      <c r="E799" s="84"/>
      <c r="F799" s="23"/>
      <c r="G799" s="165"/>
      <c r="H799" s="165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56"/>
    </row>
    <row r="800" spans="1:22" ht="28.5" x14ac:dyDescent="0.25">
      <c r="A800" s="25">
        <v>789</v>
      </c>
      <c r="B800" s="23"/>
      <c r="C800" s="14" t="s">
        <v>735</v>
      </c>
      <c r="D800" s="23"/>
      <c r="E800" s="84">
        <v>60</v>
      </c>
      <c r="F800" s="23" t="s">
        <v>37</v>
      </c>
      <c r="G800" s="165">
        <v>25000</v>
      </c>
      <c r="H800" s="165">
        <f>E800*G800</f>
        <v>1500000</v>
      </c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56"/>
    </row>
    <row r="801" spans="1:22" x14ac:dyDescent="0.25">
      <c r="A801" s="25">
        <v>790</v>
      </c>
      <c r="B801" s="23"/>
      <c r="C801" s="14"/>
      <c r="D801" s="23"/>
      <c r="E801" s="84"/>
      <c r="F801" s="23"/>
      <c r="G801" s="165"/>
      <c r="H801" s="165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56"/>
    </row>
    <row r="802" spans="1:22" ht="30" x14ac:dyDescent="0.25">
      <c r="A802" s="25">
        <v>791</v>
      </c>
      <c r="B802" s="89" t="s">
        <v>61</v>
      </c>
      <c r="C802" s="90" t="s">
        <v>88</v>
      </c>
      <c r="D802" s="89" t="s">
        <v>27</v>
      </c>
      <c r="E802" s="89"/>
      <c r="F802" s="89"/>
      <c r="G802" s="163"/>
      <c r="H802" s="167">
        <v>1141411</v>
      </c>
      <c r="I802" s="89" t="s">
        <v>52</v>
      </c>
      <c r="J802" s="60"/>
      <c r="K802" s="60">
        <v>1</v>
      </c>
      <c r="L802" s="60"/>
      <c r="M802" s="60">
        <v>3</v>
      </c>
      <c r="N802" s="60"/>
      <c r="O802" s="60"/>
      <c r="P802" s="60">
        <v>2</v>
      </c>
      <c r="Q802" s="60"/>
      <c r="R802" s="60"/>
      <c r="S802" s="60">
        <v>1</v>
      </c>
      <c r="T802" s="60"/>
      <c r="U802" s="60"/>
      <c r="V802" s="56"/>
    </row>
    <row r="803" spans="1:22" x14ac:dyDescent="0.25">
      <c r="A803" s="25">
        <v>792</v>
      </c>
      <c r="B803" s="23"/>
      <c r="C803" s="14" t="s">
        <v>54</v>
      </c>
      <c r="D803" s="23"/>
      <c r="E803" s="84"/>
      <c r="F803" s="23"/>
      <c r="G803" s="165"/>
      <c r="H803" s="165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56"/>
    </row>
    <row r="804" spans="1:22" x14ac:dyDescent="0.25">
      <c r="A804" s="25">
        <v>793</v>
      </c>
      <c r="B804" s="23"/>
      <c r="C804" s="111" t="s">
        <v>736</v>
      </c>
      <c r="D804" s="23"/>
      <c r="E804" s="112">
        <f>200*2</f>
        <v>400</v>
      </c>
      <c r="F804" s="112" t="s">
        <v>37</v>
      </c>
      <c r="G804" s="113">
        <v>600</v>
      </c>
      <c r="H804" s="165">
        <f>E804*G804</f>
        <v>240000</v>
      </c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56"/>
    </row>
    <row r="805" spans="1:22" x14ac:dyDescent="0.25">
      <c r="A805" s="25">
        <v>794</v>
      </c>
      <c r="B805" s="23"/>
      <c r="C805" s="111" t="s">
        <v>737</v>
      </c>
      <c r="D805" s="23"/>
      <c r="E805" s="112">
        <f t="shared" ref="E805:E806" si="48">200*2</f>
        <v>400</v>
      </c>
      <c r="F805" s="112" t="s">
        <v>37</v>
      </c>
      <c r="G805" s="113">
        <v>900</v>
      </c>
      <c r="H805" s="165">
        <f>E805*G805</f>
        <v>360000</v>
      </c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56"/>
    </row>
    <row r="806" spans="1:22" x14ac:dyDescent="0.25">
      <c r="A806" s="25">
        <v>795</v>
      </c>
      <c r="B806" s="23"/>
      <c r="C806" s="111" t="s">
        <v>738</v>
      </c>
      <c r="D806" s="23"/>
      <c r="E806" s="112">
        <f t="shared" si="48"/>
        <v>400</v>
      </c>
      <c r="F806" s="112" t="s">
        <v>37</v>
      </c>
      <c r="G806" s="113">
        <v>600</v>
      </c>
      <c r="H806" s="165">
        <f>E806*G806</f>
        <v>240000</v>
      </c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56"/>
    </row>
    <row r="807" spans="1:22" x14ac:dyDescent="0.25">
      <c r="A807" s="25">
        <v>796</v>
      </c>
      <c r="B807" s="23"/>
      <c r="C807" s="111" t="s">
        <v>70</v>
      </c>
      <c r="D807" s="23"/>
      <c r="E807" s="112"/>
      <c r="F807" s="112"/>
      <c r="G807" s="113"/>
      <c r="H807" s="165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56"/>
    </row>
    <row r="808" spans="1:22" x14ac:dyDescent="0.25">
      <c r="A808" s="25">
        <v>797</v>
      </c>
      <c r="B808" s="23"/>
      <c r="C808" s="111" t="s">
        <v>739</v>
      </c>
      <c r="D808" s="23"/>
      <c r="E808" s="112">
        <f>16*2</f>
        <v>32</v>
      </c>
      <c r="F808" s="2" t="s">
        <v>152</v>
      </c>
      <c r="G808" s="113">
        <v>500</v>
      </c>
      <c r="H808" s="165">
        <f>E808*G808</f>
        <v>16000</v>
      </c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56"/>
    </row>
    <row r="809" spans="1:22" x14ac:dyDescent="0.25">
      <c r="A809" s="25">
        <v>798</v>
      </c>
      <c r="B809" s="23"/>
      <c r="C809" s="111" t="s">
        <v>71</v>
      </c>
      <c r="D809" s="23"/>
      <c r="E809" s="112"/>
      <c r="F809" s="112"/>
      <c r="G809" s="113"/>
      <c r="H809" s="165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56"/>
    </row>
    <row r="810" spans="1:22" x14ac:dyDescent="0.25">
      <c r="A810" s="25">
        <v>799</v>
      </c>
      <c r="B810" s="23"/>
      <c r="C810" s="111" t="s">
        <v>740</v>
      </c>
      <c r="D810" s="23"/>
      <c r="E810" s="112">
        <f>6*2</f>
        <v>12</v>
      </c>
      <c r="F810" s="2" t="s">
        <v>152</v>
      </c>
      <c r="G810" s="113">
        <v>1000</v>
      </c>
      <c r="H810" s="165">
        <f>E810*G810</f>
        <v>12000</v>
      </c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56"/>
    </row>
    <row r="811" spans="1:22" x14ac:dyDescent="0.25">
      <c r="A811" s="25">
        <v>800</v>
      </c>
      <c r="B811" s="23"/>
      <c r="C811" s="111" t="s">
        <v>741</v>
      </c>
      <c r="D811" s="23"/>
      <c r="E811" s="112">
        <f>200*2</f>
        <v>400</v>
      </c>
      <c r="F811" s="2" t="s">
        <v>152</v>
      </c>
      <c r="G811" s="113">
        <v>500</v>
      </c>
      <c r="H811" s="165">
        <f t="shared" ref="H811:H813" si="49">E811*G811</f>
        <v>200000</v>
      </c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56"/>
    </row>
    <row r="812" spans="1:22" x14ac:dyDescent="0.25">
      <c r="A812" s="25">
        <v>801</v>
      </c>
      <c r="B812" s="23"/>
      <c r="C812" s="111" t="s">
        <v>747</v>
      </c>
      <c r="D812" s="23"/>
      <c r="E812" s="112">
        <f>12*2</f>
        <v>24</v>
      </c>
      <c r="F812" s="23" t="s">
        <v>567</v>
      </c>
      <c r="G812" s="179">
        <v>450</v>
      </c>
      <c r="H812" s="165">
        <f t="shared" si="49"/>
        <v>10800</v>
      </c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56"/>
    </row>
    <row r="813" spans="1:22" x14ac:dyDescent="0.25">
      <c r="A813" s="25">
        <v>802</v>
      </c>
      <c r="B813" s="23"/>
      <c r="C813" s="111" t="s">
        <v>748</v>
      </c>
      <c r="D813" s="23"/>
      <c r="E813" s="114">
        <f>12*2</f>
        <v>24</v>
      </c>
      <c r="F813" s="23" t="s">
        <v>567</v>
      </c>
      <c r="G813" s="115">
        <v>1500</v>
      </c>
      <c r="H813" s="165">
        <f t="shared" si="49"/>
        <v>36000</v>
      </c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56"/>
    </row>
    <row r="814" spans="1:22" x14ac:dyDescent="0.25">
      <c r="A814" s="25">
        <v>803</v>
      </c>
      <c r="B814" s="23"/>
      <c r="C814" s="111" t="s">
        <v>55</v>
      </c>
      <c r="D814" s="23"/>
      <c r="E814" s="114"/>
      <c r="F814" s="114"/>
      <c r="G814" s="115"/>
      <c r="H814" s="165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56"/>
    </row>
    <row r="815" spans="1:22" x14ac:dyDescent="0.25">
      <c r="A815" s="25">
        <v>804</v>
      </c>
      <c r="B815" s="23"/>
      <c r="C815" s="111" t="s">
        <v>742</v>
      </c>
      <c r="D815" s="23"/>
      <c r="E815" s="112">
        <f>3*2</f>
        <v>6</v>
      </c>
      <c r="F815" s="23" t="s">
        <v>567</v>
      </c>
      <c r="G815" s="113">
        <v>1000</v>
      </c>
      <c r="H815" s="165">
        <f>E815*G815</f>
        <v>6000</v>
      </c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56"/>
    </row>
    <row r="816" spans="1:22" x14ac:dyDescent="0.25">
      <c r="A816" s="25">
        <v>805</v>
      </c>
      <c r="B816" s="23"/>
      <c r="C816" s="111" t="s">
        <v>743</v>
      </c>
      <c r="D816" s="23"/>
      <c r="E816" s="112">
        <f>9*2</f>
        <v>18</v>
      </c>
      <c r="F816" s="2" t="s">
        <v>152</v>
      </c>
      <c r="G816" s="113">
        <v>76</v>
      </c>
      <c r="H816" s="165">
        <f t="shared" ref="H816:H821" si="50">E816*G816</f>
        <v>1368</v>
      </c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56"/>
    </row>
    <row r="817" spans="1:22" x14ac:dyDescent="0.25">
      <c r="A817" s="25">
        <v>806</v>
      </c>
      <c r="B817" s="23"/>
      <c r="C817" s="111" t="s">
        <v>744</v>
      </c>
      <c r="D817" s="23"/>
      <c r="E817" s="112">
        <f>10*2</f>
        <v>20</v>
      </c>
      <c r="F817" s="2" t="s">
        <v>152</v>
      </c>
      <c r="G817" s="113">
        <v>64</v>
      </c>
      <c r="H817" s="165">
        <f t="shared" si="50"/>
        <v>1280</v>
      </c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56"/>
    </row>
    <row r="818" spans="1:22" x14ac:dyDescent="0.25">
      <c r="A818" s="25">
        <v>807</v>
      </c>
      <c r="B818" s="23"/>
      <c r="C818" s="111" t="s">
        <v>745</v>
      </c>
      <c r="D818" s="23"/>
      <c r="E818" s="112">
        <f>6*2</f>
        <v>12</v>
      </c>
      <c r="F818" s="2" t="s">
        <v>152</v>
      </c>
      <c r="G818" s="113">
        <v>50</v>
      </c>
      <c r="H818" s="165">
        <f t="shared" si="50"/>
        <v>600</v>
      </c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56"/>
    </row>
    <row r="819" spans="1:22" x14ac:dyDescent="0.25">
      <c r="A819" s="25">
        <v>808</v>
      </c>
      <c r="B819" s="23"/>
      <c r="C819" s="111" t="s">
        <v>746</v>
      </c>
      <c r="D819" s="23"/>
      <c r="E819" s="112">
        <f>5*2</f>
        <v>10</v>
      </c>
      <c r="F819" s="2" t="s">
        <v>152</v>
      </c>
      <c r="G819" s="113">
        <v>85</v>
      </c>
      <c r="H819" s="165">
        <f t="shared" si="50"/>
        <v>850</v>
      </c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56"/>
    </row>
    <row r="820" spans="1:22" x14ac:dyDescent="0.25">
      <c r="A820" s="25">
        <v>809</v>
      </c>
      <c r="B820" s="23"/>
      <c r="C820" s="111" t="s">
        <v>56</v>
      </c>
      <c r="D820" s="23"/>
      <c r="E820" s="114"/>
      <c r="F820" s="114"/>
      <c r="G820" s="115"/>
      <c r="H820" s="165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56"/>
    </row>
    <row r="821" spans="1:22" x14ac:dyDescent="0.25">
      <c r="A821" s="25">
        <v>810</v>
      </c>
      <c r="B821" s="23"/>
      <c r="C821" s="111" t="s">
        <v>749</v>
      </c>
      <c r="D821" s="23"/>
      <c r="E821" s="114">
        <f>2*2</f>
        <v>4</v>
      </c>
      <c r="F821" s="114" t="s">
        <v>128</v>
      </c>
      <c r="G821" s="115">
        <v>4128.25</v>
      </c>
      <c r="H821" s="165">
        <f t="shared" si="50"/>
        <v>16513</v>
      </c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56"/>
    </row>
    <row r="822" spans="1:22" x14ac:dyDescent="0.25">
      <c r="A822" s="25">
        <v>811</v>
      </c>
      <c r="B822" s="23"/>
      <c r="C822" s="14"/>
      <c r="D822" s="23"/>
      <c r="E822" s="84"/>
      <c r="F822" s="23"/>
      <c r="G822" s="165"/>
      <c r="H822" s="165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56"/>
    </row>
    <row r="823" spans="1:22" ht="60" x14ac:dyDescent="0.25">
      <c r="A823" s="25">
        <v>812</v>
      </c>
      <c r="B823" s="89" t="s">
        <v>61</v>
      </c>
      <c r="C823" s="90" t="s">
        <v>654</v>
      </c>
      <c r="D823" s="89" t="s">
        <v>27</v>
      </c>
      <c r="E823" s="89"/>
      <c r="F823" s="89"/>
      <c r="G823" s="163"/>
      <c r="H823" s="167">
        <v>133080</v>
      </c>
      <c r="I823" s="89" t="s">
        <v>52</v>
      </c>
      <c r="J823" s="60"/>
      <c r="K823" s="60">
        <v>1</v>
      </c>
      <c r="L823" s="60"/>
      <c r="M823" s="60"/>
      <c r="N823" s="60">
        <v>1</v>
      </c>
      <c r="O823" s="60"/>
      <c r="P823" s="60">
        <v>1</v>
      </c>
      <c r="Q823" s="60"/>
      <c r="R823" s="60"/>
      <c r="S823" s="60"/>
      <c r="T823" s="60">
        <v>1</v>
      </c>
      <c r="U823" s="60"/>
      <c r="V823" s="56"/>
    </row>
    <row r="824" spans="1:22" x14ac:dyDescent="0.25">
      <c r="A824" s="25">
        <v>813</v>
      </c>
      <c r="B824" s="23"/>
      <c r="C824" s="14" t="s">
        <v>648</v>
      </c>
      <c r="D824" s="23"/>
      <c r="E824" s="84">
        <v>8</v>
      </c>
      <c r="F824" s="23" t="s">
        <v>152</v>
      </c>
      <c r="G824" s="165">
        <v>550</v>
      </c>
      <c r="H824" s="165">
        <v>4400</v>
      </c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56"/>
    </row>
    <row r="825" spans="1:22" x14ac:dyDescent="0.25">
      <c r="A825" s="25">
        <v>814</v>
      </c>
      <c r="B825" s="23"/>
      <c r="C825" s="14" t="s">
        <v>649</v>
      </c>
      <c r="D825" s="23"/>
      <c r="E825" s="84">
        <v>8</v>
      </c>
      <c r="F825" s="23" t="s">
        <v>152</v>
      </c>
      <c r="G825" s="165">
        <v>2500</v>
      </c>
      <c r="H825" s="165">
        <v>20000</v>
      </c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56"/>
    </row>
    <row r="826" spans="1:22" x14ac:dyDescent="0.25">
      <c r="A826" s="25">
        <v>815</v>
      </c>
      <c r="B826" s="23"/>
      <c r="C826" s="14" t="s">
        <v>655</v>
      </c>
      <c r="D826" s="23"/>
      <c r="E826" s="84">
        <v>2</v>
      </c>
      <c r="F826" s="23" t="s">
        <v>571</v>
      </c>
      <c r="G826" s="165">
        <v>5600</v>
      </c>
      <c r="H826" s="165">
        <v>11200</v>
      </c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56"/>
    </row>
    <row r="827" spans="1:22" x14ac:dyDescent="0.25">
      <c r="A827" s="25">
        <v>816</v>
      </c>
      <c r="B827" s="23"/>
      <c r="C827" s="14" t="s">
        <v>656</v>
      </c>
      <c r="D827" s="23"/>
      <c r="E827" s="84">
        <v>70</v>
      </c>
      <c r="F827" s="23" t="s">
        <v>571</v>
      </c>
      <c r="G827" s="165">
        <v>250</v>
      </c>
      <c r="H827" s="165">
        <v>17500</v>
      </c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56"/>
    </row>
    <row r="828" spans="1:22" x14ac:dyDescent="0.25">
      <c r="A828" s="25">
        <v>817</v>
      </c>
      <c r="B828" s="23"/>
      <c r="C828" s="14" t="s">
        <v>603</v>
      </c>
      <c r="D828" s="23"/>
      <c r="E828" s="84">
        <v>5</v>
      </c>
      <c r="F828" s="23" t="s">
        <v>37</v>
      </c>
      <c r="G828" s="165">
        <v>3900</v>
      </c>
      <c r="H828" s="165">
        <v>19500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56"/>
    </row>
    <row r="829" spans="1:22" x14ac:dyDescent="0.25">
      <c r="A829" s="25">
        <v>818</v>
      </c>
      <c r="B829" s="23"/>
      <c r="C829" s="14" t="s">
        <v>600</v>
      </c>
      <c r="D829" s="23"/>
      <c r="E829" s="84">
        <v>48</v>
      </c>
      <c r="F829" s="23" t="s">
        <v>37</v>
      </c>
      <c r="G829" s="165">
        <v>360</v>
      </c>
      <c r="H829" s="165">
        <v>17280</v>
      </c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56"/>
    </row>
    <row r="830" spans="1:22" x14ac:dyDescent="0.25">
      <c r="A830" s="25">
        <v>819</v>
      </c>
      <c r="B830" s="23"/>
      <c r="C830" s="14" t="s">
        <v>601</v>
      </c>
      <c r="D830" s="23"/>
      <c r="E830" s="84">
        <v>48</v>
      </c>
      <c r="F830" s="23" t="s">
        <v>37</v>
      </c>
      <c r="G830" s="165">
        <v>540</v>
      </c>
      <c r="H830" s="165">
        <v>25920</v>
      </c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56"/>
    </row>
    <row r="831" spans="1:22" x14ac:dyDescent="0.25">
      <c r="A831" s="25">
        <v>820</v>
      </c>
      <c r="B831" s="23"/>
      <c r="C831" s="14" t="s">
        <v>602</v>
      </c>
      <c r="D831" s="23"/>
      <c r="E831" s="84">
        <v>48</v>
      </c>
      <c r="F831" s="23" t="s">
        <v>37</v>
      </c>
      <c r="G831" s="165">
        <v>360</v>
      </c>
      <c r="H831" s="165">
        <v>17280</v>
      </c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56"/>
    </row>
    <row r="832" spans="1:22" x14ac:dyDescent="0.25">
      <c r="A832" s="25">
        <v>821</v>
      </c>
      <c r="B832" s="23"/>
      <c r="C832" s="14"/>
      <c r="D832" s="23"/>
      <c r="E832" s="84"/>
      <c r="F832" s="23"/>
      <c r="G832" s="165"/>
      <c r="H832" s="165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56"/>
    </row>
    <row r="833" spans="1:22" ht="30" x14ac:dyDescent="0.25">
      <c r="A833" s="25">
        <v>822</v>
      </c>
      <c r="B833" s="89" t="s">
        <v>61</v>
      </c>
      <c r="C833" s="90" t="s">
        <v>89</v>
      </c>
      <c r="D833" s="89" t="s">
        <v>27</v>
      </c>
      <c r="E833" s="89"/>
      <c r="F833" s="89"/>
      <c r="G833" s="163"/>
      <c r="H833" s="167">
        <v>230400</v>
      </c>
      <c r="I833" s="89" t="s">
        <v>52</v>
      </c>
      <c r="J833" s="60"/>
      <c r="K833" s="60">
        <v>1</v>
      </c>
      <c r="L833" s="60"/>
      <c r="M833" s="60">
        <v>1</v>
      </c>
      <c r="N833" s="60"/>
      <c r="O833" s="60"/>
      <c r="P833" s="60">
        <v>1</v>
      </c>
      <c r="Q833" s="60"/>
      <c r="R833" s="60"/>
      <c r="S833" s="60">
        <v>1</v>
      </c>
      <c r="T833" s="60"/>
      <c r="U833" s="60"/>
      <c r="V833" s="56"/>
    </row>
    <row r="834" spans="1:22" x14ac:dyDescent="0.25">
      <c r="A834" s="25">
        <v>823</v>
      </c>
      <c r="B834" s="23"/>
      <c r="C834" s="14" t="s">
        <v>657</v>
      </c>
      <c r="D834" s="23"/>
      <c r="E834" s="84">
        <v>40</v>
      </c>
      <c r="F834" s="23" t="s">
        <v>31</v>
      </c>
      <c r="G834" s="165">
        <v>180</v>
      </c>
      <c r="H834" s="165">
        <v>7200</v>
      </c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56"/>
    </row>
    <row r="835" spans="1:22" x14ac:dyDescent="0.25">
      <c r="A835" s="25">
        <v>824</v>
      </c>
      <c r="B835" s="23"/>
      <c r="C835" s="14" t="s">
        <v>658</v>
      </c>
      <c r="D835" s="23"/>
      <c r="E835" s="84">
        <v>600</v>
      </c>
      <c r="F835" s="23" t="s">
        <v>37</v>
      </c>
      <c r="G835" s="165">
        <v>240</v>
      </c>
      <c r="H835" s="165">
        <v>144000</v>
      </c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56"/>
    </row>
    <row r="836" spans="1:22" x14ac:dyDescent="0.25">
      <c r="A836" s="25">
        <v>825</v>
      </c>
      <c r="B836" s="23"/>
      <c r="C836" s="14" t="s">
        <v>659</v>
      </c>
      <c r="D836" s="23"/>
      <c r="E836" s="84">
        <v>80</v>
      </c>
      <c r="F836" s="23" t="s">
        <v>37</v>
      </c>
      <c r="G836" s="165">
        <v>240</v>
      </c>
      <c r="H836" s="165">
        <v>19200</v>
      </c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56"/>
    </row>
    <row r="837" spans="1:22" x14ac:dyDescent="0.25">
      <c r="A837" s="25">
        <v>826</v>
      </c>
      <c r="B837" s="23"/>
      <c r="C837" s="14" t="s">
        <v>660</v>
      </c>
      <c r="D837" s="23"/>
      <c r="E837" s="84">
        <v>600</v>
      </c>
      <c r="F837" s="23" t="s">
        <v>152</v>
      </c>
      <c r="G837" s="165">
        <v>100</v>
      </c>
      <c r="H837" s="165">
        <v>60000</v>
      </c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56"/>
    </row>
    <row r="838" spans="1:22" x14ac:dyDescent="0.25">
      <c r="A838" s="25">
        <v>827</v>
      </c>
      <c r="B838" s="23"/>
      <c r="C838" s="14"/>
      <c r="D838" s="23"/>
      <c r="E838" s="84"/>
      <c r="F838" s="23"/>
      <c r="G838" s="165"/>
      <c r="H838" s="165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56"/>
    </row>
    <row r="839" spans="1:22" ht="30" x14ac:dyDescent="0.25">
      <c r="A839" s="25">
        <v>828</v>
      </c>
      <c r="B839" s="89" t="s">
        <v>61</v>
      </c>
      <c r="C839" s="90" t="s">
        <v>90</v>
      </c>
      <c r="D839" s="89" t="s">
        <v>27</v>
      </c>
      <c r="E839" s="89"/>
      <c r="F839" s="89"/>
      <c r="G839" s="163"/>
      <c r="H839" s="167">
        <v>600000</v>
      </c>
      <c r="I839" s="89" t="s">
        <v>52</v>
      </c>
      <c r="J839" s="60"/>
      <c r="K839" s="60"/>
      <c r="L839" s="60"/>
      <c r="M839" s="60">
        <v>2</v>
      </c>
      <c r="N839" s="60"/>
      <c r="O839" s="60"/>
      <c r="P839" s="60"/>
      <c r="Q839" s="60">
        <v>1</v>
      </c>
      <c r="R839" s="60"/>
      <c r="S839" s="60"/>
      <c r="T839" s="60"/>
      <c r="U839" s="60"/>
      <c r="V839" s="56"/>
    </row>
    <row r="840" spans="1:22" x14ac:dyDescent="0.25">
      <c r="A840" s="25">
        <v>829</v>
      </c>
      <c r="B840" s="23"/>
      <c r="C840" s="14" t="s">
        <v>766</v>
      </c>
      <c r="D840" s="23"/>
      <c r="E840" s="84"/>
      <c r="F840" s="23"/>
      <c r="G840" s="165"/>
      <c r="H840" s="165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56"/>
    </row>
    <row r="841" spans="1:22" x14ac:dyDescent="0.25">
      <c r="A841" s="25">
        <v>830</v>
      </c>
      <c r="B841" s="23"/>
      <c r="C841" s="1" t="s">
        <v>750</v>
      </c>
      <c r="D841" s="23"/>
      <c r="E841" s="8">
        <f>40*15</f>
        <v>600</v>
      </c>
      <c r="F841" s="8" t="s">
        <v>37</v>
      </c>
      <c r="G841" s="180">
        <v>120</v>
      </c>
      <c r="H841" s="165">
        <f>E841*G841</f>
        <v>72000</v>
      </c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56"/>
    </row>
    <row r="842" spans="1:22" x14ac:dyDescent="0.25">
      <c r="A842" s="25">
        <v>831</v>
      </c>
      <c r="B842" s="23"/>
      <c r="C842" s="1" t="s">
        <v>346</v>
      </c>
      <c r="D842" s="23"/>
      <c r="E842" s="8">
        <f t="shared" ref="E842:E843" si="51">40*15</f>
        <v>600</v>
      </c>
      <c r="F842" s="8" t="s">
        <v>37</v>
      </c>
      <c r="G842" s="180">
        <v>180</v>
      </c>
      <c r="H842" s="165">
        <f t="shared" ref="H842:H843" si="52">E842*G842</f>
        <v>108000</v>
      </c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56"/>
    </row>
    <row r="843" spans="1:22" x14ac:dyDescent="0.25">
      <c r="A843" s="25">
        <v>832</v>
      </c>
      <c r="B843" s="23"/>
      <c r="C843" s="1" t="s">
        <v>302</v>
      </c>
      <c r="D843" s="23"/>
      <c r="E843" s="8">
        <f t="shared" si="51"/>
        <v>600</v>
      </c>
      <c r="F843" s="8" t="s">
        <v>37</v>
      </c>
      <c r="G843" s="180">
        <v>120</v>
      </c>
      <c r="H843" s="165">
        <f t="shared" si="52"/>
        <v>72000</v>
      </c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56"/>
    </row>
    <row r="844" spans="1:22" x14ac:dyDescent="0.25">
      <c r="A844" s="25">
        <v>833</v>
      </c>
      <c r="B844" s="23"/>
      <c r="C844" s="1" t="s">
        <v>70</v>
      </c>
      <c r="D844" s="23"/>
      <c r="E844" s="8"/>
      <c r="F844" s="8"/>
      <c r="G844" s="180"/>
      <c r="H844" s="165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56"/>
    </row>
    <row r="845" spans="1:22" x14ac:dyDescent="0.25">
      <c r="A845" s="25">
        <v>834</v>
      </c>
      <c r="B845" s="23"/>
      <c r="C845" s="1" t="s">
        <v>751</v>
      </c>
      <c r="D845" s="23"/>
      <c r="E845" s="8">
        <v>80</v>
      </c>
      <c r="F845" s="8" t="s">
        <v>152</v>
      </c>
      <c r="G845" s="180">
        <v>1000</v>
      </c>
      <c r="H845" s="165">
        <f>E845*G845</f>
        <v>80000</v>
      </c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56"/>
    </row>
    <row r="846" spans="1:22" x14ac:dyDescent="0.25">
      <c r="A846" s="25">
        <v>835</v>
      </c>
      <c r="B846" s="23"/>
      <c r="C846" s="1" t="s">
        <v>55</v>
      </c>
      <c r="D846" s="23"/>
      <c r="E846" s="8"/>
      <c r="F846" s="8"/>
      <c r="G846" s="180"/>
      <c r="H846" s="165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56"/>
    </row>
    <row r="847" spans="1:22" x14ac:dyDescent="0.25">
      <c r="A847" s="25">
        <v>836</v>
      </c>
      <c r="B847" s="23"/>
      <c r="C847" s="1" t="s">
        <v>752</v>
      </c>
      <c r="D847" s="23"/>
      <c r="E847" s="8">
        <v>80</v>
      </c>
      <c r="F847" s="8" t="s">
        <v>290</v>
      </c>
      <c r="G847" s="49">
        <v>387.5</v>
      </c>
      <c r="H847" s="165">
        <f t="shared" ref="H847:H869" si="53">E847*G847</f>
        <v>31000</v>
      </c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56"/>
    </row>
    <row r="848" spans="1:22" x14ac:dyDescent="0.25">
      <c r="A848" s="25">
        <v>837</v>
      </c>
      <c r="B848" s="23"/>
      <c r="C848" s="1" t="s">
        <v>376</v>
      </c>
      <c r="D848" s="23"/>
      <c r="E848" s="8">
        <v>80</v>
      </c>
      <c r="F848" s="8" t="s">
        <v>290</v>
      </c>
      <c r="G848" s="49">
        <v>410</v>
      </c>
      <c r="H848" s="165">
        <f t="shared" si="53"/>
        <v>32800</v>
      </c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56"/>
    </row>
    <row r="849" spans="1:22" x14ac:dyDescent="0.25">
      <c r="A849" s="25">
        <v>838</v>
      </c>
      <c r="B849" s="23"/>
      <c r="C849" s="1" t="s">
        <v>378</v>
      </c>
      <c r="D849" s="23"/>
      <c r="E849" s="8">
        <v>80</v>
      </c>
      <c r="F849" s="8" t="s">
        <v>152</v>
      </c>
      <c r="G849" s="49">
        <v>50</v>
      </c>
      <c r="H849" s="165">
        <f t="shared" si="53"/>
        <v>4000</v>
      </c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56"/>
    </row>
    <row r="850" spans="1:22" x14ac:dyDescent="0.25">
      <c r="A850" s="25">
        <v>839</v>
      </c>
      <c r="B850" s="23"/>
      <c r="C850" s="1" t="s">
        <v>379</v>
      </c>
      <c r="D850" s="23"/>
      <c r="E850" s="8">
        <v>120</v>
      </c>
      <c r="F850" s="8" t="s">
        <v>152</v>
      </c>
      <c r="G850" s="49">
        <v>35</v>
      </c>
      <c r="H850" s="165">
        <f t="shared" si="53"/>
        <v>4200</v>
      </c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56"/>
    </row>
    <row r="851" spans="1:22" x14ac:dyDescent="0.25">
      <c r="A851" s="25">
        <v>840</v>
      </c>
      <c r="B851" s="23"/>
      <c r="C851" s="1" t="s">
        <v>753</v>
      </c>
      <c r="D851" s="23"/>
      <c r="E851" s="8">
        <v>80</v>
      </c>
      <c r="F851" s="8" t="s">
        <v>152</v>
      </c>
      <c r="G851" s="49">
        <v>25</v>
      </c>
      <c r="H851" s="165">
        <f t="shared" si="53"/>
        <v>2000</v>
      </c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56"/>
    </row>
    <row r="852" spans="1:22" x14ac:dyDescent="0.25">
      <c r="A852" s="25">
        <v>841</v>
      </c>
      <c r="B852" s="23"/>
      <c r="C852" s="1" t="s">
        <v>754</v>
      </c>
      <c r="D852" s="23"/>
      <c r="E852" s="8">
        <v>120</v>
      </c>
      <c r="F852" s="8" t="s">
        <v>152</v>
      </c>
      <c r="G852" s="49">
        <v>20</v>
      </c>
      <c r="H852" s="165">
        <f t="shared" si="53"/>
        <v>2400</v>
      </c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56"/>
    </row>
    <row r="853" spans="1:22" x14ac:dyDescent="0.25">
      <c r="A853" s="25">
        <v>842</v>
      </c>
      <c r="B853" s="23"/>
      <c r="C853" s="1" t="s">
        <v>381</v>
      </c>
      <c r="D853" s="23"/>
      <c r="E853" s="8">
        <v>80</v>
      </c>
      <c r="F853" s="8" t="s">
        <v>152</v>
      </c>
      <c r="G853" s="49">
        <v>30</v>
      </c>
      <c r="H853" s="165">
        <f t="shared" si="53"/>
        <v>2400</v>
      </c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56"/>
    </row>
    <row r="854" spans="1:22" x14ac:dyDescent="0.25">
      <c r="A854" s="25">
        <v>843</v>
      </c>
      <c r="B854" s="23"/>
      <c r="C854" s="1" t="s">
        <v>382</v>
      </c>
      <c r="D854" s="23"/>
      <c r="E854" s="8">
        <v>80</v>
      </c>
      <c r="F854" s="8" t="s">
        <v>152</v>
      </c>
      <c r="G854" s="49">
        <v>150</v>
      </c>
      <c r="H854" s="165">
        <f t="shared" si="53"/>
        <v>12000</v>
      </c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56"/>
    </row>
    <row r="855" spans="1:22" x14ac:dyDescent="0.25">
      <c r="A855" s="25">
        <v>844</v>
      </c>
      <c r="B855" s="23"/>
      <c r="C855" s="1" t="s">
        <v>383</v>
      </c>
      <c r="D855" s="23"/>
      <c r="E855" s="8">
        <v>80</v>
      </c>
      <c r="F855" s="8" t="s">
        <v>152</v>
      </c>
      <c r="G855" s="49">
        <v>15</v>
      </c>
      <c r="H855" s="165">
        <f t="shared" si="53"/>
        <v>1200</v>
      </c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56"/>
    </row>
    <row r="856" spans="1:22" x14ac:dyDescent="0.25">
      <c r="A856" s="25">
        <v>845</v>
      </c>
      <c r="B856" s="23"/>
      <c r="C856" s="1" t="s">
        <v>755</v>
      </c>
      <c r="D856" s="23"/>
      <c r="E856" s="8">
        <v>40</v>
      </c>
      <c r="F856" s="8" t="s">
        <v>152</v>
      </c>
      <c r="G856" s="49">
        <v>400</v>
      </c>
      <c r="H856" s="165">
        <f t="shared" si="53"/>
        <v>16000</v>
      </c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56"/>
    </row>
    <row r="857" spans="1:22" x14ac:dyDescent="0.25">
      <c r="A857" s="25">
        <v>846</v>
      </c>
      <c r="B857" s="23"/>
      <c r="C857" s="1" t="s">
        <v>756</v>
      </c>
      <c r="D857" s="23"/>
      <c r="E857" s="8">
        <v>40</v>
      </c>
      <c r="F857" s="23" t="s">
        <v>567</v>
      </c>
      <c r="G857" s="49">
        <v>120</v>
      </c>
      <c r="H857" s="165">
        <f t="shared" si="53"/>
        <v>4800</v>
      </c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56"/>
    </row>
    <row r="858" spans="1:22" x14ac:dyDescent="0.25">
      <c r="A858" s="25">
        <v>847</v>
      </c>
      <c r="B858" s="23"/>
      <c r="C858" s="1" t="s">
        <v>757</v>
      </c>
      <c r="D858" s="23"/>
      <c r="E858" s="8">
        <v>40</v>
      </c>
      <c r="F858" s="8" t="s">
        <v>152</v>
      </c>
      <c r="G858" s="49">
        <v>70</v>
      </c>
      <c r="H858" s="165">
        <f t="shared" si="53"/>
        <v>2800</v>
      </c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56"/>
    </row>
    <row r="859" spans="1:22" x14ac:dyDescent="0.25">
      <c r="A859" s="25">
        <v>848</v>
      </c>
      <c r="B859" s="23"/>
      <c r="C859" s="1" t="s">
        <v>415</v>
      </c>
      <c r="D859" s="23"/>
      <c r="E859" s="8">
        <v>40</v>
      </c>
      <c r="F859" s="23" t="s">
        <v>567</v>
      </c>
      <c r="G859" s="49">
        <v>100</v>
      </c>
      <c r="H859" s="165">
        <f t="shared" si="53"/>
        <v>4000</v>
      </c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56"/>
    </row>
    <row r="860" spans="1:22" x14ac:dyDescent="0.25">
      <c r="A860" s="25">
        <v>849</v>
      </c>
      <c r="B860" s="23"/>
      <c r="C860" s="1" t="s">
        <v>758</v>
      </c>
      <c r="D860" s="23"/>
      <c r="E860" s="8">
        <v>40</v>
      </c>
      <c r="F860" s="8" t="s">
        <v>765</v>
      </c>
      <c r="G860" s="49">
        <v>100</v>
      </c>
      <c r="H860" s="165">
        <f t="shared" si="53"/>
        <v>4000</v>
      </c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56"/>
    </row>
    <row r="861" spans="1:22" x14ac:dyDescent="0.25">
      <c r="A861" s="25">
        <v>850</v>
      </c>
      <c r="B861" s="23"/>
      <c r="C861" s="1" t="s">
        <v>440</v>
      </c>
      <c r="D861" s="23"/>
      <c r="E861" s="8">
        <v>40</v>
      </c>
      <c r="F861" s="8" t="s">
        <v>152</v>
      </c>
      <c r="G861" s="49">
        <v>100</v>
      </c>
      <c r="H861" s="165">
        <f t="shared" si="53"/>
        <v>4000</v>
      </c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56"/>
    </row>
    <row r="862" spans="1:22" x14ac:dyDescent="0.25">
      <c r="A862" s="25">
        <v>851</v>
      </c>
      <c r="B862" s="23"/>
      <c r="C862" s="1" t="s">
        <v>759</v>
      </c>
      <c r="D862" s="23"/>
      <c r="E862" s="8">
        <v>40</v>
      </c>
      <c r="F862" s="8" t="s">
        <v>152</v>
      </c>
      <c r="G862" s="49">
        <v>125</v>
      </c>
      <c r="H862" s="165">
        <f t="shared" si="53"/>
        <v>5000</v>
      </c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56"/>
    </row>
    <row r="863" spans="1:22" x14ac:dyDescent="0.25">
      <c r="A863" s="25">
        <v>852</v>
      </c>
      <c r="B863" s="23"/>
      <c r="C863" s="1" t="s">
        <v>760</v>
      </c>
      <c r="D863" s="23"/>
      <c r="E863" s="8">
        <v>50</v>
      </c>
      <c r="F863" s="23" t="s">
        <v>567</v>
      </c>
      <c r="G863" s="49">
        <v>60</v>
      </c>
      <c r="H863" s="165">
        <f t="shared" si="53"/>
        <v>3000</v>
      </c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56"/>
    </row>
    <row r="864" spans="1:22" x14ac:dyDescent="0.25">
      <c r="A864" s="25">
        <v>853</v>
      </c>
      <c r="B864" s="23"/>
      <c r="C864" s="1" t="s">
        <v>444</v>
      </c>
      <c r="D864" s="23"/>
      <c r="E864" s="8">
        <v>40</v>
      </c>
      <c r="F864" s="8" t="s">
        <v>152</v>
      </c>
      <c r="G864" s="49">
        <v>190</v>
      </c>
      <c r="H864" s="165">
        <f t="shared" si="53"/>
        <v>7600</v>
      </c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56"/>
    </row>
    <row r="865" spans="1:22" x14ac:dyDescent="0.25">
      <c r="A865" s="25">
        <v>854</v>
      </c>
      <c r="B865" s="23"/>
      <c r="C865" s="1" t="s">
        <v>56</v>
      </c>
      <c r="D865" s="23"/>
      <c r="E865" s="8"/>
      <c r="F865" s="8"/>
      <c r="G865" s="49"/>
      <c r="H865" s="165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56"/>
    </row>
    <row r="866" spans="1:22" x14ac:dyDescent="0.25">
      <c r="A866" s="25">
        <v>855</v>
      </c>
      <c r="B866" s="23"/>
      <c r="C866" s="1" t="s">
        <v>761</v>
      </c>
      <c r="D866" s="23"/>
      <c r="E866" s="8">
        <v>80</v>
      </c>
      <c r="F866" s="8" t="s">
        <v>291</v>
      </c>
      <c r="G866" s="49">
        <v>390</v>
      </c>
      <c r="H866" s="165">
        <f t="shared" si="53"/>
        <v>31200</v>
      </c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56"/>
    </row>
    <row r="867" spans="1:22" x14ac:dyDescent="0.25">
      <c r="A867" s="25">
        <v>856</v>
      </c>
      <c r="B867" s="23"/>
      <c r="C867" s="1" t="s">
        <v>762</v>
      </c>
      <c r="D867" s="23"/>
      <c r="E867" s="8">
        <v>80</v>
      </c>
      <c r="F867" s="8" t="s">
        <v>291</v>
      </c>
      <c r="G867" s="49">
        <v>390</v>
      </c>
      <c r="H867" s="165">
        <f t="shared" si="53"/>
        <v>31200</v>
      </c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56"/>
    </row>
    <row r="868" spans="1:22" x14ac:dyDescent="0.25">
      <c r="A868" s="25">
        <v>857</v>
      </c>
      <c r="B868" s="23"/>
      <c r="C868" s="1" t="s">
        <v>763</v>
      </c>
      <c r="D868" s="23"/>
      <c r="E868" s="8">
        <v>80</v>
      </c>
      <c r="F868" s="8" t="s">
        <v>291</v>
      </c>
      <c r="G868" s="49">
        <v>390</v>
      </c>
      <c r="H868" s="165">
        <f t="shared" si="53"/>
        <v>31200</v>
      </c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56"/>
    </row>
    <row r="869" spans="1:22" x14ac:dyDescent="0.25">
      <c r="A869" s="25">
        <v>858</v>
      </c>
      <c r="B869" s="23"/>
      <c r="C869" s="1" t="s">
        <v>764</v>
      </c>
      <c r="D869" s="23"/>
      <c r="E869" s="8">
        <v>80</v>
      </c>
      <c r="F869" s="8" t="s">
        <v>291</v>
      </c>
      <c r="G869" s="49">
        <v>390</v>
      </c>
      <c r="H869" s="165">
        <f t="shared" si="53"/>
        <v>31200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56"/>
    </row>
    <row r="870" spans="1:22" x14ac:dyDescent="0.25">
      <c r="A870" s="25">
        <v>859</v>
      </c>
      <c r="B870" s="23"/>
      <c r="C870" s="14"/>
      <c r="D870" s="23"/>
      <c r="E870" s="84"/>
      <c r="F870" s="23"/>
      <c r="G870" s="165"/>
      <c r="H870" s="165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56"/>
    </row>
    <row r="871" spans="1:22" ht="30" x14ac:dyDescent="0.25">
      <c r="A871" s="25">
        <v>860</v>
      </c>
      <c r="B871" s="86" t="s">
        <v>91</v>
      </c>
      <c r="C871" s="87" t="s">
        <v>92</v>
      </c>
      <c r="D871" s="86" t="s">
        <v>26</v>
      </c>
      <c r="E871" s="86"/>
      <c r="F871" s="86"/>
      <c r="G871" s="161"/>
      <c r="H871" s="162">
        <f>H872+H884+H889+H897+H902+H908+H913+H920+H927+H931+H937+H945+H950+H958+H962+H968+H973+H979+H983+H988+H991+H997+H1003+H1007+H1013</f>
        <v>3038341</v>
      </c>
      <c r="I871" s="86" t="s">
        <v>93</v>
      </c>
      <c r="J871" s="88">
        <v>19</v>
      </c>
      <c r="K871" s="88">
        <v>19</v>
      </c>
      <c r="L871" s="88">
        <v>16</v>
      </c>
      <c r="M871" s="88">
        <v>33</v>
      </c>
      <c r="N871" s="88">
        <v>16</v>
      </c>
      <c r="O871" s="88">
        <v>14</v>
      </c>
      <c r="P871" s="88">
        <v>32</v>
      </c>
      <c r="Q871" s="88">
        <v>15</v>
      </c>
      <c r="R871" s="88">
        <v>13</v>
      </c>
      <c r="S871" s="88">
        <v>25</v>
      </c>
      <c r="T871" s="88">
        <v>15</v>
      </c>
      <c r="U871" s="88">
        <v>13</v>
      </c>
      <c r="V871" s="56"/>
    </row>
    <row r="872" spans="1:22" ht="30" x14ac:dyDescent="0.25">
      <c r="A872" s="25">
        <v>861</v>
      </c>
      <c r="B872" s="89" t="s">
        <v>91</v>
      </c>
      <c r="C872" s="90" t="s">
        <v>101</v>
      </c>
      <c r="D872" s="89" t="s">
        <v>27</v>
      </c>
      <c r="E872" s="89"/>
      <c r="F872" s="89"/>
      <c r="G872" s="163"/>
      <c r="H872" s="167">
        <v>97450</v>
      </c>
      <c r="I872" s="89" t="s">
        <v>93</v>
      </c>
      <c r="J872" s="60"/>
      <c r="K872" s="60"/>
      <c r="L872" s="60"/>
      <c r="M872" s="60">
        <v>1</v>
      </c>
      <c r="N872" s="60"/>
      <c r="O872" s="60"/>
      <c r="P872" s="60">
        <v>1</v>
      </c>
      <c r="Q872" s="60"/>
      <c r="R872" s="60"/>
      <c r="S872" s="60">
        <v>1</v>
      </c>
      <c r="T872" s="60"/>
      <c r="U872" s="60"/>
      <c r="V872" s="56"/>
    </row>
    <row r="873" spans="1:22" ht="15" x14ac:dyDescent="0.25">
      <c r="A873" s="25">
        <v>862</v>
      </c>
      <c r="B873" s="23"/>
      <c r="C873" s="93" t="s">
        <v>272</v>
      </c>
      <c r="D873" s="23"/>
      <c r="E873" s="23">
        <v>10</v>
      </c>
      <c r="F873" s="23" t="s">
        <v>152</v>
      </c>
      <c r="G873" s="116">
        <v>1500</v>
      </c>
      <c r="H873" s="165">
        <f>E873*G873</f>
        <v>15000</v>
      </c>
      <c r="I873" s="8"/>
      <c r="J873" s="85"/>
      <c r="K873" s="106"/>
      <c r="L873" s="85"/>
      <c r="M873" s="106"/>
      <c r="N873" s="85"/>
      <c r="O873" s="85"/>
      <c r="P873" s="106"/>
      <c r="Q873" s="85"/>
      <c r="R873" s="85"/>
      <c r="S873" s="106"/>
      <c r="T873" s="85"/>
      <c r="U873" s="85"/>
      <c r="V873" s="56"/>
    </row>
    <row r="874" spans="1:22" x14ac:dyDescent="0.25">
      <c r="A874" s="25">
        <v>863</v>
      </c>
      <c r="B874" s="23"/>
      <c r="C874" s="93" t="s">
        <v>449</v>
      </c>
      <c r="D874" s="23"/>
      <c r="E874" s="23">
        <v>5</v>
      </c>
      <c r="F874" s="23" t="s">
        <v>152</v>
      </c>
      <c r="G874" s="116">
        <v>4615</v>
      </c>
      <c r="H874" s="165">
        <f t="shared" ref="H874:H882" si="54">E874*G874</f>
        <v>23075</v>
      </c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56"/>
    </row>
    <row r="875" spans="1:22" x14ac:dyDescent="0.25">
      <c r="A875" s="25">
        <v>864</v>
      </c>
      <c r="B875" s="23"/>
      <c r="C875" s="93" t="s">
        <v>767</v>
      </c>
      <c r="D875" s="23"/>
      <c r="E875" s="23">
        <v>5</v>
      </c>
      <c r="F875" s="23" t="s">
        <v>152</v>
      </c>
      <c r="G875" s="116">
        <v>3000</v>
      </c>
      <c r="H875" s="165">
        <f t="shared" si="54"/>
        <v>15000</v>
      </c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56"/>
    </row>
    <row r="876" spans="1:22" x14ac:dyDescent="0.25">
      <c r="A876" s="25">
        <v>865</v>
      </c>
      <c r="B876" s="23"/>
      <c r="C876" s="93" t="s">
        <v>768</v>
      </c>
      <c r="D876" s="23"/>
      <c r="E876" s="23">
        <v>4</v>
      </c>
      <c r="F876" s="23" t="s">
        <v>152</v>
      </c>
      <c r="G876" s="116">
        <v>230</v>
      </c>
      <c r="H876" s="165">
        <f t="shared" si="54"/>
        <v>920</v>
      </c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56"/>
    </row>
    <row r="877" spans="1:22" x14ac:dyDescent="0.25">
      <c r="A877" s="25">
        <v>866</v>
      </c>
      <c r="B877" s="23"/>
      <c r="C877" s="93" t="s">
        <v>769</v>
      </c>
      <c r="D877" s="23"/>
      <c r="E877" s="23">
        <v>5</v>
      </c>
      <c r="F877" s="23" t="s">
        <v>152</v>
      </c>
      <c r="G877" s="116">
        <v>345</v>
      </c>
      <c r="H877" s="165">
        <f t="shared" si="54"/>
        <v>1725</v>
      </c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56"/>
    </row>
    <row r="878" spans="1:22" x14ac:dyDescent="0.25">
      <c r="A878" s="25">
        <v>867</v>
      </c>
      <c r="B878" s="23"/>
      <c r="C878" s="93" t="s">
        <v>295</v>
      </c>
      <c r="D878" s="23"/>
      <c r="E878" s="23">
        <v>4</v>
      </c>
      <c r="F878" s="23" t="s">
        <v>152</v>
      </c>
      <c r="G878" s="116">
        <v>1500</v>
      </c>
      <c r="H878" s="165">
        <f t="shared" si="54"/>
        <v>6000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56"/>
    </row>
    <row r="879" spans="1:22" x14ac:dyDescent="0.25">
      <c r="A879" s="25">
        <v>868</v>
      </c>
      <c r="B879" s="23"/>
      <c r="C879" s="93" t="s">
        <v>770</v>
      </c>
      <c r="D879" s="23"/>
      <c r="E879" s="23">
        <v>4</v>
      </c>
      <c r="F879" s="23" t="s">
        <v>152</v>
      </c>
      <c r="G879" s="116">
        <v>7000</v>
      </c>
      <c r="H879" s="165">
        <f t="shared" si="54"/>
        <v>28000</v>
      </c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56"/>
    </row>
    <row r="880" spans="1:22" x14ac:dyDescent="0.25">
      <c r="A880" s="25">
        <v>869</v>
      </c>
      <c r="B880" s="23"/>
      <c r="C880" s="93" t="s">
        <v>450</v>
      </c>
      <c r="D880" s="23"/>
      <c r="E880" s="23">
        <v>2</v>
      </c>
      <c r="F880" s="23" t="s">
        <v>152</v>
      </c>
      <c r="G880" s="116">
        <v>1465</v>
      </c>
      <c r="H880" s="165">
        <f t="shared" si="54"/>
        <v>2930</v>
      </c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56"/>
    </row>
    <row r="881" spans="1:22" x14ac:dyDescent="0.25">
      <c r="A881" s="25">
        <v>870</v>
      </c>
      <c r="B881" s="23"/>
      <c r="C881" s="93" t="s">
        <v>761</v>
      </c>
      <c r="D881" s="23"/>
      <c r="E881" s="23">
        <v>4</v>
      </c>
      <c r="F881" s="8" t="s">
        <v>291</v>
      </c>
      <c r="G881" s="116">
        <v>600</v>
      </c>
      <c r="H881" s="165">
        <f t="shared" si="54"/>
        <v>2400</v>
      </c>
      <c r="I881" s="8">
        <f>H881/4</f>
        <v>600</v>
      </c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56"/>
    </row>
    <row r="882" spans="1:22" x14ac:dyDescent="0.25">
      <c r="A882" s="25">
        <v>871</v>
      </c>
      <c r="B882" s="23"/>
      <c r="C882" s="93" t="s">
        <v>771</v>
      </c>
      <c r="D882" s="23"/>
      <c r="E882" s="23">
        <v>4</v>
      </c>
      <c r="F882" s="8" t="s">
        <v>291</v>
      </c>
      <c r="G882" s="116">
        <v>600</v>
      </c>
      <c r="H882" s="165">
        <f t="shared" si="54"/>
        <v>2400</v>
      </c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56"/>
    </row>
    <row r="883" spans="1:22" x14ac:dyDescent="0.25">
      <c r="A883" s="25">
        <v>872</v>
      </c>
      <c r="B883" s="23"/>
      <c r="C883" s="14"/>
      <c r="D883" s="23"/>
      <c r="E883" s="84"/>
      <c r="F883" s="23"/>
      <c r="G883" s="165"/>
      <c r="H883" s="165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56"/>
    </row>
    <row r="884" spans="1:22" ht="30" x14ac:dyDescent="0.25">
      <c r="A884" s="25">
        <v>873</v>
      </c>
      <c r="B884" s="89" t="s">
        <v>91</v>
      </c>
      <c r="C884" s="90" t="s">
        <v>36</v>
      </c>
      <c r="D884" s="89" t="s">
        <v>27</v>
      </c>
      <c r="E884" s="89"/>
      <c r="F884" s="89"/>
      <c r="G884" s="163"/>
      <c r="H884" s="167">
        <v>17308</v>
      </c>
      <c r="I884" s="89" t="s">
        <v>93</v>
      </c>
      <c r="J884" s="60"/>
      <c r="K884" s="60">
        <v>2</v>
      </c>
      <c r="L884" s="60"/>
      <c r="M884" s="60"/>
      <c r="N884" s="60"/>
      <c r="O884" s="60"/>
      <c r="P884" s="60"/>
      <c r="Q884" s="60"/>
      <c r="R884" s="60"/>
      <c r="S884" s="60">
        <v>1</v>
      </c>
      <c r="T884" s="60"/>
      <c r="U884" s="60"/>
      <c r="V884" s="56"/>
    </row>
    <row r="885" spans="1:22" x14ac:dyDescent="0.25">
      <c r="A885" s="25">
        <v>874</v>
      </c>
      <c r="B885" s="23"/>
      <c r="C885" s="1" t="s">
        <v>783</v>
      </c>
      <c r="D885" s="23"/>
      <c r="E885" s="8">
        <v>7</v>
      </c>
      <c r="F885" s="8" t="s">
        <v>291</v>
      </c>
      <c r="G885" s="181">
        <v>601.14290000000005</v>
      </c>
      <c r="H885" s="165">
        <f>E885*G885</f>
        <v>4208.0003000000006</v>
      </c>
      <c r="I885" s="20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56"/>
    </row>
    <row r="886" spans="1:22" x14ac:dyDescent="0.25">
      <c r="A886" s="25">
        <v>875</v>
      </c>
      <c r="B886" s="23"/>
      <c r="C886" s="11" t="s">
        <v>784</v>
      </c>
      <c r="D886" s="23"/>
      <c r="E886" s="2">
        <v>8</v>
      </c>
      <c r="F886" s="2" t="s">
        <v>152</v>
      </c>
      <c r="G886" s="24">
        <v>750</v>
      </c>
      <c r="H886" s="107">
        <f>G886*E886</f>
        <v>6000</v>
      </c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56"/>
    </row>
    <row r="887" spans="1:22" x14ac:dyDescent="0.25">
      <c r="A887" s="25">
        <v>876</v>
      </c>
      <c r="B887" s="23"/>
      <c r="C887" s="11" t="s">
        <v>767</v>
      </c>
      <c r="D887" s="23"/>
      <c r="E887" s="2">
        <v>2</v>
      </c>
      <c r="F887" s="2" t="s">
        <v>152</v>
      </c>
      <c r="G887" s="24">
        <v>3550</v>
      </c>
      <c r="H887" s="107">
        <f>G887*E887</f>
        <v>7100</v>
      </c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56"/>
    </row>
    <row r="888" spans="1:22" x14ac:dyDescent="0.25">
      <c r="A888" s="25">
        <v>877</v>
      </c>
      <c r="B888" s="23"/>
      <c r="C888" s="14"/>
      <c r="D888" s="23"/>
      <c r="E888" s="84"/>
      <c r="F888" s="23"/>
      <c r="G888" s="165"/>
      <c r="H888" s="165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56"/>
    </row>
    <row r="889" spans="1:22" ht="30" x14ac:dyDescent="0.25">
      <c r="A889" s="25">
        <v>878</v>
      </c>
      <c r="B889" s="89" t="s">
        <v>91</v>
      </c>
      <c r="C889" s="90" t="s">
        <v>96</v>
      </c>
      <c r="D889" s="89" t="s">
        <v>27</v>
      </c>
      <c r="E889" s="89"/>
      <c r="F889" s="89"/>
      <c r="G889" s="163"/>
      <c r="H889" s="167">
        <v>47715</v>
      </c>
      <c r="I889" s="89" t="s">
        <v>93</v>
      </c>
      <c r="J889" s="60"/>
      <c r="K889" s="60">
        <v>1</v>
      </c>
      <c r="L889" s="60">
        <v>1</v>
      </c>
      <c r="M889" s="60"/>
      <c r="N889" s="60"/>
      <c r="O889" s="60"/>
      <c r="P889" s="60"/>
      <c r="Q889" s="60">
        <v>1</v>
      </c>
      <c r="R889" s="60"/>
      <c r="S889" s="60">
        <v>1</v>
      </c>
      <c r="T889" s="60"/>
      <c r="U889" s="60"/>
      <c r="V889" s="56"/>
    </row>
    <row r="890" spans="1:22" x14ac:dyDescent="0.25">
      <c r="A890" s="25">
        <v>879</v>
      </c>
      <c r="B890" s="23"/>
      <c r="C890" s="39" t="s">
        <v>296</v>
      </c>
      <c r="D890" s="8"/>
      <c r="E890" s="36">
        <v>15</v>
      </c>
      <c r="F890" s="8" t="s">
        <v>291</v>
      </c>
      <c r="G890" s="95">
        <v>345</v>
      </c>
      <c r="H890" s="165">
        <f t="shared" ref="H890:H895" si="55">G890*E890</f>
        <v>5175</v>
      </c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56"/>
    </row>
    <row r="891" spans="1:22" x14ac:dyDescent="0.25">
      <c r="A891" s="25">
        <v>880</v>
      </c>
      <c r="B891" s="23"/>
      <c r="C891" s="39" t="s">
        <v>865</v>
      </c>
      <c r="D891" s="8"/>
      <c r="E891" s="36">
        <v>1</v>
      </c>
      <c r="F891" s="36" t="s">
        <v>145</v>
      </c>
      <c r="G891" s="95">
        <v>5850</v>
      </c>
      <c r="H891" s="165">
        <f t="shared" si="55"/>
        <v>5850</v>
      </c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56"/>
    </row>
    <row r="892" spans="1:22" x14ac:dyDescent="0.25">
      <c r="A892" s="25">
        <v>881</v>
      </c>
      <c r="B892" s="23"/>
      <c r="C892" s="39" t="s">
        <v>866</v>
      </c>
      <c r="D892" s="8"/>
      <c r="E892" s="8">
        <v>2</v>
      </c>
      <c r="F892" s="23" t="s">
        <v>152</v>
      </c>
      <c r="G892" s="97">
        <v>4450</v>
      </c>
      <c r="H892" s="165">
        <f t="shared" si="55"/>
        <v>8900</v>
      </c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56"/>
    </row>
    <row r="893" spans="1:22" x14ac:dyDescent="0.25">
      <c r="A893" s="25">
        <v>882</v>
      </c>
      <c r="B893" s="23"/>
      <c r="C893" s="39" t="s">
        <v>867</v>
      </c>
      <c r="D893" s="8"/>
      <c r="E893" s="8">
        <v>2</v>
      </c>
      <c r="F893" s="23" t="s">
        <v>309</v>
      </c>
      <c r="G893" s="97">
        <v>2550</v>
      </c>
      <c r="H893" s="165">
        <f t="shared" si="55"/>
        <v>5100</v>
      </c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56"/>
    </row>
    <row r="894" spans="1:22" x14ac:dyDescent="0.25">
      <c r="A894" s="25">
        <v>883</v>
      </c>
      <c r="B894" s="23"/>
      <c r="C894" s="39" t="s">
        <v>868</v>
      </c>
      <c r="D894" s="8"/>
      <c r="E894" s="8">
        <v>1</v>
      </c>
      <c r="F894" s="23" t="s">
        <v>145</v>
      </c>
      <c r="G894" s="97">
        <v>7800</v>
      </c>
      <c r="H894" s="165">
        <f t="shared" si="55"/>
        <v>7800</v>
      </c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56"/>
    </row>
    <row r="895" spans="1:22" x14ac:dyDescent="0.25">
      <c r="A895" s="25">
        <v>884</v>
      </c>
      <c r="B895" s="23"/>
      <c r="C895" s="39" t="s">
        <v>869</v>
      </c>
      <c r="D895" s="8"/>
      <c r="E895" s="8">
        <v>1</v>
      </c>
      <c r="F895" s="23" t="s">
        <v>145</v>
      </c>
      <c r="G895" s="97">
        <v>14890</v>
      </c>
      <c r="H895" s="165">
        <f t="shared" si="55"/>
        <v>14890</v>
      </c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56"/>
    </row>
    <row r="896" spans="1:22" x14ac:dyDescent="0.25">
      <c r="A896" s="25">
        <v>885</v>
      </c>
      <c r="B896" s="23"/>
      <c r="C896" s="14"/>
      <c r="D896" s="23"/>
      <c r="E896" s="84"/>
      <c r="F896" s="23"/>
      <c r="G896" s="165"/>
      <c r="H896" s="165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56"/>
    </row>
    <row r="897" spans="1:22" ht="30" x14ac:dyDescent="0.25">
      <c r="A897" s="25">
        <v>886</v>
      </c>
      <c r="B897" s="89" t="s">
        <v>91</v>
      </c>
      <c r="C897" s="90" t="s">
        <v>44</v>
      </c>
      <c r="D897" s="89" t="s">
        <v>27</v>
      </c>
      <c r="E897" s="89"/>
      <c r="F897" s="89"/>
      <c r="G897" s="163"/>
      <c r="H897" s="167">
        <v>29440</v>
      </c>
      <c r="I897" s="89" t="s">
        <v>93</v>
      </c>
      <c r="J897" s="60"/>
      <c r="K897" s="60"/>
      <c r="L897" s="60"/>
      <c r="M897" s="60">
        <v>1</v>
      </c>
      <c r="N897" s="60"/>
      <c r="O897" s="60"/>
      <c r="P897" s="60"/>
      <c r="Q897" s="60"/>
      <c r="R897" s="60"/>
      <c r="S897" s="60">
        <v>1</v>
      </c>
      <c r="T897" s="60"/>
      <c r="U897" s="60"/>
      <c r="V897" s="56"/>
    </row>
    <row r="898" spans="1:22" x14ac:dyDescent="0.25">
      <c r="A898" s="25">
        <v>887</v>
      </c>
      <c r="B898" s="23"/>
      <c r="C898" s="1" t="s">
        <v>783</v>
      </c>
      <c r="D898" s="23"/>
      <c r="E898" s="8">
        <v>28</v>
      </c>
      <c r="F898" s="8" t="s">
        <v>291</v>
      </c>
      <c r="G898" s="165">
        <v>594.28570000000002</v>
      </c>
      <c r="H898" s="165">
        <f>G898*E898</f>
        <v>16639.999599999999</v>
      </c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56"/>
    </row>
    <row r="899" spans="1:22" x14ac:dyDescent="0.25">
      <c r="A899" s="25">
        <v>888</v>
      </c>
      <c r="B899" s="23"/>
      <c r="C899" s="11" t="s">
        <v>784</v>
      </c>
      <c r="D899" s="23"/>
      <c r="E899" s="2">
        <v>8</v>
      </c>
      <c r="F899" s="2" t="s">
        <v>152</v>
      </c>
      <c r="G899" s="24">
        <v>750</v>
      </c>
      <c r="H899" s="165">
        <f>G899*E899</f>
        <v>6000</v>
      </c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56"/>
    </row>
    <row r="900" spans="1:22" x14ac:dyDescent="0.25">
      <c r="A900" s="25">
        <v>889</v>
      </c>
      <c r="B900" s="23"/>
      <c r="C900" s="11" t="s">
        <v>767</v>
      </c>
      <c r="D900" s="23"/>
      <c r="E900" s="2">
        <v>2</v>
      </c>
      <c r="F900" s="2" t="s">
        <v>152</v>
      </c>
      <c r="G900" s="24">
        <v>3400</v>
      </c>
      <c r="H900" s="165">
        <f>G900*E900</f>
        <v>6800</v>
      </c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56"/>
    </row>
    <row r="901" spans="1:22" x14ac:dyDescent="0.25">
      <c r="A901" s="25">
        <v>890</v>
      </c>
      <c r="B901" s="23"/>
      <c r="C901" s="14"/>
      <c r="D901" s="23"/>
      <c r="E901" s="84"/>
      <c r="F901" s="23"/>
      <c r="G901" s="165"/>
      <c r="H901" s="165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56"/>
    </row>
    <row r="902" spans="1:22" ht="30" x14ac:dyDescent="0.25">
      <c r="A902" s="25">
        <v>891</v>
      </c>
      <c r="B902" s="89" t="s">
        <v>91</v>
      </c>
      <c r="C902" s="90" t="s">
        <v>97</v>
      </c>
      <c r="D902" s="89" t="s">
        <v>27</v>
      </c>
      <c r="E902" s="89"/>
      <c r="F902" s="89"/>
      <c r="G902" s="163"/>
      <c r="H902" s="167">
        <v>37440</v>
      </c>
      <c r="I902" s="89" t="s">
        <v>93</v>
      </c>
      <c r="J902" s="60">
        <v>2</v>
      </c>
      <c r="K902" s="60"/>
      <c r="L902" s="60"/>
      <c r="M902" s="60">
        <v>2</v>
      </c>
      <c r="N902" s="60"/>
      <c r="O902" s="60"/>
      <c r="P902" s="60">
        <v>2</v>
      </c>
      <c r="Q902" s="60"/>
      <c r="R902" s="60"/>
      <c r="S902" s="60">
        <v>2</v>
      </c>
      <c r="T902" s="60"/>
      <c r="U902" s="60"/>
      <c r="V902" s="56"/>
    </row>
    <row r="903" spans="1:22" x14ac:dyDescent="0.25">
      <c r="A903" s="25">
        <v>892</v>
      </c>
      <c r="B903" s="23"/>
      <c r="C903" s="1" t="s">
        <v>761</v>
      </c>
      <c r="D903" s="8"/>
      <c r="E903" s="8">
        <v>24</v>
      </c>
      <c r="F903" s="8" t="s">
        <v>291</v>
      </c>
      <c r="G903" s="49">
        <v>390</v>
      </c>
      <c r="H903" s="165">
        <f>G903*E903</f>
        <v>9360</v>
      </c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56"/>
    </row>
    <row r="904" spans="1:22" x14ac:dyDescent="0.25">
      <c r="A904" s="25">
        <v>893</v>
      </c>
      <c r="B904" s="23"/>
      <c r="C904" s="1" t="s">
        <v>762</v>
      </c>
      <c r="D904" s="8"/>
      <c r="E904" s="8">
        <v>24</v>
      </c>
      <c r="F904" s="8" t="s">
        <v>291</v>
      </c>
      <c r="G904" s="49">
        <v>390</v>
      </c>
      <c r="H904" s="165">
        <f>G904*E904</f>
        <v>9360</v>
      </c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56"/>
    </row>
    <row r="905" spans="1:22" x14ac:dyDescent="0.25">
      <c r="A905" s="25">
        <v>894</v>
      </c>
      <c r="B905" s="23"/>
      <c r="C905" s="1" t="s">
        <v>763</v>
      </c>
      <c r="D905" s="8"/>
      <c r="E905" s="8">
        <v>24</v>
      </c>
      <c r="F905" s="8" t="s">
        <v>291</v>
      </c>
      <c r="G905" s="49">
        <v>390</v>
      </c>
      <c r="H905" s="165">
        <f>G905*E905</f>
        <v>9360</v>
      </c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56"/>
    </row>
    <row r="906" spans="1:22" x14ac:dyDescent="0.25">
      <c r="A906" s="25">
        <v>895</v>
      </c>
      <c r="B906" s="23"/>
      <c r="C906" s="1" t="s">
        <v>764</v>
      </c>
      <c r="D906" s="8"/>
      <c r="E906" s="8">
        <v>24</v>
      </c>
      <c r="F906" s="8" t="s">
        <v>291</v>
      </c>
      <c r="G906" s="49">
        <v>390</v>
      </c>
      <c r="H906" s="165">
        <f>G906*E906</f>
        <v>9360</v>
      </c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56"/>
    </row>
    <row r="907" spans="1:22" x14ac:dyDescent="0.25">
      <c r="A907" s="25">
        <v>896</v>
      </c>
      <c r="B907" s="23"/>
      <c r="C907" s="14"/>
      <c r="D907" s="23"/>
      <c r="E907" s="84"/>
      <c r="F907" s="23"/>
      <c r="G907" s="165"/>
      <c r="H907" s="165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56"/>
    </row>
    <row r="908" spans="1:22" ht="45" x14ac:dyDescent="0.25">
      <c r="A908" s="25">
        <v>897</v>
      </c>
      <c r="B908" s="89" t="s">
        <v>91</v>
      </c>
      <c r="C908" s="90" t="s">
        <v>42</v>
      </c>
      <c r="D908" s="89" t="s">
        <v>27</v>
      </c>
      <c r="E908" s="89"/>
      <c r="F908" s="89"/>
      <c r="G908" s="163"/>
      <c r="H908" s="167">
        <v>29760</v>
      </c>
      <c r="I908" s="89" t="s">
        <v>93</v>
      </c>
      <c r="J908" s="60"/>
      <c r="K908" s="60"/>
      <c r="L908" s="60"/>
      <c r="M908" s="60">
        <v>2</v>
      </c>
      <c r="N908" s="60">
        <v>1</v>
      </c>
      <c r="O908" s="60">
        <v>1</v>
      </c>
      <c r="P908" s="60"/>
      <c r="Q908" s="60"/>
      <c r="R908" s="60"/>
      <c r="S908" s="60">
        <v>2</v>
      </c>
      <c r="T908" s="60">
        <v>2</v>
      </c>
      <c r="U908" s="60">
        <v>2</v>
      </c>
      <c r="V908" s="56"/>
    </row>
    <row r="909" spans="1:22" x14ac:dyDescent="0.25">
      <c r="A909" s="25">
        <v>898</v>
      </c>
      <c r="B909" s="23"/>
      <c r="C909" s="11" t="s">
        <v>427</v>
      </c>
      <c r="D909" s="8"/>
      <c r="E909" s="2">
        <f>6*2</f>
        <v>12</v>
      </c>
      <c r="F909" s="2" t="s">
        <v>152</v>
      </c>
      <c r="G909" s="24">
        <v>800</v>
      </c>
      <c r="H909" s="165">
        <f>G909*E909</f>
        <v>9600</v>
      </c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56"/>
    </row>
    <row r="910" spans="1:22" x14ac:dyDescent="0.25">
      <c r="A910" s="25">
        <v>899</v>
      </c>
      <c r="B910" s="23"/>
      <c r="C910" s="11" t="s">
        <v>767</v>
      </c>
      <c r="D910" s="8"/>
      <c r="E910" s="2">
        <f>2*2</f>
        <v>4</v>
      </c>
      <c r="F910" s="2" t="s">
        <v>152</v>
      </c>
      <c r="G910" s="24">
        <v>4000</v>
      </c>
      <c r="H910" s="165">
        <f>G910*E910</f>
        <v>16000</v>
      </c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56"/>
    </row>
    <row r="911" spans="1:22" x14ac:dyDescent="0.25">
      <c r="A911" s="25">
        <v>900</v>
      </c>
      <c r="B911" s="23"/>
      <c r="C911" s="1" t="s">
        <v>783</v>
      </c>
      <c r="D911" s="23"/>
      <c r="E911" s="8">
        <v>7</v>
      </c>
      <c r="F911" s="8" t="s">
        <v>291</v>
      </c>
      <c r="G911" s="165">
        <v>594.28570000000002</v>
      </c>
      <c r="H911" s="165">
        <f>G911*E911</f>
        <v>4159.9998999999998</v>
      </c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56"/>
    </row>
    <row r="912" spans="1:22" x14ac:dyDescent="0.25">
      <c r="A912" s="25">
        <v>901</v>
      </c>
      <c r="B912" s="23"/>
      <c r="C912" s="14"/>
      <c r="D912" s="23"/>
      <c r="E912" s="84"/>
      <c r="F912" s="23"/>
      <c r="G912" s="165"/>
      <c r="H912" s="165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56"/>
    </row>
    <row r="913" spans="1:63" ht="30" x14ac:dyDescent="0.25">
      <c r="A913" s="25">
        <v>902</v>
      </c>
      <c r="B913" s="89" t="s">
        <v>91</v>
      </c>
      <c r="C913" s="90" t="s">
        <v>98</v>
      </c>
      <c r="D913" s="89" t="s">
        <v>27</v>
      </c>
      <c r="E913" s="89"/>
      <c r="F913" s="89"/>
      <c r="G913" s="163"/>
      <c r="H913" s="167">
        <v>45360</v>
      </c>
      <c r="I913" s="89" t="s">
        <v>93</v>
      </c>
      <c r="J913" s="60">
        <v>2</v>
      </c>
      <c r="K913" s="60">
        <v>2</v>
      </c>
      <c r="L913" s="60">
        <v>2</v>
      </c>
      <c r="M913" s="60">
        <v>2</v>
      </c>
      <c r="N913" s="60">
        <v>2</v>
      </c>
      <c r="O913" s="60">
        <v>2</v>
      </c>
      <c r="P913" s="60">
        <v>2</v>
      </c>
      <c r="Q913" s="60">
        <v>2</v>
      </c>
      <c r="R913" s="60">
        <v>2</v>
      </c>
      <c r="S913" s="60">
        <v>2</v>
      </c>
      <c r="T913" s="60">
        <v>2</v>
      </c>
      <c r="U913" s="60">
        <v>2</v>
      </c>
      <c r="V913" s="56"/>
    </row>
    <row r="914" spans="1:63" x14ac:dyDescent="0.25">
      <c r="A914" s="25">
        <v>903</v>
      </c>
      <c r="B914" s="23"/>
      <c r="C914" s="14" t="s">
        <v>899</v>
      </c>
      <c r="D914" s="23"/>
      <c r="E914" s="84"/>
      <c r="F914" s="23"/>
      <c r="G914" s="165"/>
      <c r="H914" s="165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56"/>
    </row>
    <row r="915" spans="1:63" x14ac:dyDescent="0.25">
      <c r="A915" s="25">
        <v>904</v>
      </c>
      <c r="B915" s="23"/>
      <c r="C915" s="50" t="s">
        <v>898</v>
      </c>
      <c r="D915" s="23"/>
      <c r="E915" s="8">
        <f>3*14</f>
        <v>42</v>
      </c>
      <c r="F915" s="8" t="s">
        <v>291</v>
      </c>
      <c r="G915" s="49">
        <v>270</v>
      </c>
      <c r="H915" s="49">
        <f>G915*E915</f>
        <v>11340</v>
      </c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56"/>
    </row>
    <row r="916" spans="1:63" x14ac:dyDescent="0.25">
      <c r="A916" s="25">
        <v>905</v>
      </c>
      <c r="B916" s="23"/>
      <c r="C916" s="50" t="s">
        <v>763</v>
      </c>
      <c r="D916" s="23"/>
      <c r="E916" s="8">
        <f t="shared" ref="E916:E918" si="56">3*14</f>
        <v>42</v>
      </c>
      <c r="F916" s="8" t="s">
        <v>291</v>
      </c>
      <c r="G916" s="49">
        <v>270</v>
      </c>
      <c r="H916" s="49">
        <f t="shared" ref="H916:H918" si="57">G916*E916</f>
        <v>11340</v>
      </c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56"/>
    </row>
    <row r="917" spans="1:63" x14ac:dyDescent="0.25">
      <c r="A917" s="25">
        <v>906</v>
      </c>
      <c r="B917" s="23"/>
      <c r="C917" s="50" t="s">
        <v>764</v>
      </c>
      <c r="D917" s="23"/>
      <c r="E917" s="8">
        <f t="shared" si="56"/>
        <v>42</v>
      </c>
      <c r="F917" s="8" t="s">
        <v>291</v>
      </c>
      <c r="G917" s="49">
        <v>270</v>
      </c>
      <c r="H917" s="49">
        <f t="shared" si="57"/>
        <v>11340</v>
      </c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56"/>
    </row>
    <row r="918" spans="1:63" x14ac:dyDescent="0.25">
      <c r="A918" s="25">
        <v>907</v>
      </c>
      <c r="B918" s="23"/>
      <c r="C918" s="50" t="s">
        <v>762</v>
      </c>
      <c r="D918" s="23"/>
      <c r="E918" s="8">
        <f t="shared" si="56"/>
        <v>42</v>
      </c>
      <c r="F918" s="8" t="s">
        <v>291</v>
      </c>
      <c r="G918" s="49">
        <v>270</v>
      </c>
      <c r="H918" s="49">
        <f t="shared" si="57"/>
        <v>11340</v>
      </c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56"/>
    </row>
    <row r="919" spans="1:63" x14ac:dyDescent="0.25">
      <c r="A919" s="25">
        <v>908</v>
      </c>
      <c r="B919" s="23"/>
      <c r="C919" s="14"/>
      <c r="D919" s="23"/>
      <c r="E919" s="84"/>
      <c r="F919" s="23"/>
      <c r="G919" s="165"/>
      <c r="H919" s="165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56"/>
    </row>
    <row r="920" spans="1:63" s="56" customFormat="1" ht="30" x14ac:dyDescent="0.25">
      <c r="A920" s="25">
        <v>909</v>
      </c>
      <c r="B920" s="89" t="s">
        <v>91</v>
      </c>
      <c r="C920" s="90" t="s">
        <v>72</v>
      </c>
      <c r="D920" s="89" t="s">
        <v>27</v>
      </c>
      <c r="E920" s="89"/>
      <c r="F920" s="89"/>
      <c r="G920" s="163"/>
      <c r="H920" s="167">
        <v>405900</v>
      </c>
      <c r="I920" s="89" t="s">
        <v>93</v>
      </c>
      <c r="J920" s="60"/>
      <c r="K920" s="60"/>
      <c r="L920" s="60"/>
      <c r="M920" s="60">
        <v>1</v>
      </c>
      <c r="N920" s="60"/>
      <c r="O920" s="60"/>
      <c r="P920" s="60"/>
      <c r="Q920" s="60"/>
      <c r="R920" s="60">
        <v>1</v>
      </c>
      <c r="S920" s="60"/>
      <c r="T920" s="60"/>
      <c r="U920" s="60"/>
    </row>
    <row r="921" spans="1:63" s="1" customFormat="1" x14ac:dyDescent="0.25">
      <c r="A921" s="25">
        <v>910</v>
      </c>
      <c r="B921" s="23"/>
      <c r="C921" s="14" t="s">
        <v>1309</v>
      </c>
      <c r="D921" s="23"/>
      <c r="E921" s="84"/>
      <c r="F921" s="23"/>
      <c r="G921" s="165"/>
      <c r="H921" s="165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  <c r="BG921" s="56"/>
      <c r="BH921" s="56"/>
      <c r="BI921" s="56"/>
      <c r="BJ921" s="56"/>
      <c r="BK921" s="56"/>
    </row>
    <row r="922" spans="1:63" s="1" customFormat="1" ht="12.75" customHeight="1" x14ac:dyDescent="0.25">
      <c r="A922" s="25">
        <v>911</v>
      </c>
      <c r="B922" s="23"/>
      <c r="C922" s="11" t="s">
        <v>1442</v>
      </c>
      <c r="E922" s="2">
        <f>40*9</f>
        <v>360</v>
      </c>
      <c r="F922" s="2" t="s">
        <v>1002</v>
      </c>
      <c r="G922" s="117">
        <v>445</v>
      </c>
      <c r="H922" s="5">
        <f>G922*E922</f>
        <v>160200</v>
      </c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  <c r="BG922" s="56"/>
      <c r="BH922" s="56"/>
      <c r="BI922" s="56"/>
      <c r="BJ922" s="56"/>
      <c r="BK922" s="56"/>
    </row>
    <row r="923" spans="1:63" s="1" customFormat="1" x14ac:dyDescent="0.25">
      <c r="A923" s="25">
        <v>912</v>
      </c>
      <c r="B923" s="23"/>
      <c r="C923" s="11" t="s">
        <v>1443</v>
      </c>
      <c r="E923" s="2">
        <f>40*9</f>
        <v>360</v>
      </c>
      <c r="F923" s="2" t="s">
        <v>1002</v>
      </c>
      <c r="G923" s="117">
        <v>445</v>
      </c>
      <c r="H923" s="5">
        <f t="shared" ref="H923:H925" si="58">G923*E923</f>
        <v>160200</v>
      </c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  <c r="BG923" s="56"/>
      <c r="BH923" s="56"/>
      <c r="BI923" s="56"/>
      <c r="BJ923" s="56"/>
      <c r="BK923" s="56"/>
    </row>
    <row r="924" spans="1:63" s="1" customFormat="1" x14ac:dyDescent="0.25">
      <c r="A924" s="25">
        <v>913</v>
      </c>
      <c r="B924" s="23"/>
      <c r="C924" s="11" t="s">
        <v>784</v>
      </c>
      <c r="E924" s="2">
        <f>4*9</f>
        <v>36</v>
      </c>
      <c r="F924" s="2" t="s">
        <v>152</v>
      </c>
      <c r="G924" s="118">
        <v>750</v>
      </c>
      <c r="H924" s="5">
        <f t="shared" si="58"/>
        <v>27000</v>
      </c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  <c r="BG924" s="56"/>
      <c r="BH924" s="56"/>
      <c r="BI924" s="56"/>
      <c r="BJ924" s="56"/>
      <c r="BK924" s="56"/>
    </row>
    <row r="925" spans="1:63" s="1" customFormat="1" x14ac:dyDescent="0.25">
      <c r="A925" s="25">
        <v>914</v>
      </c>
      <c r="B925" s="23"/>
      <c r="C925" s="11" t="s">
        <v>1009</v>
      </c>
      <c r="E925" s="2">
        <f>2*9</f>
        <v>18</v>
      </c>
      <c r="F925" s="2" t="s">
        <v>152</v>
      </c>
      <c r="G925" s="118">
        <v>3250</v>
      </c>
      <c r="H925" s="5">
        <f t="shared" si="58"/>
        <v>58500</v>
      </c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  <c r="BG925" s="56"/>
      <c r="BH925" s="56"/>
      <c r="BI925" s="56"/>
      <c r="BJ925" s="56"/>
      <c r="BK925" s="56"/>
    </row>
    <row r="926" spans="1:63" s="56" customFormat="1" x14ac:dyDescent="0.25">
      <c r="A926" s="25">
        <v>915</v>
      </c>
      <c r="B926" s="23"/>
      <c r="C926" s="14"/>
      <c r="D926" s="23"/>
      <c r="E926" s="84"/>
      <c r="F926" s="23"/>
      <c r="G926" s="165"/>
      <c r="H926" s="165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</row>
    <row r="927" spans="1:63" ht="30" x14ac:dyDescent="0.25">
      <c r="A927" s="25">
        <v>916</v>
      </c>
      <c r="B927" s="89" t="s">
        <v>91</v>
      </c>
      <c r="C927" s="90" t="s">
        <v>46</v>
      </c>
      <c r="D927" s="89" t="s">
        <v>27</v>
      </c>
      <c r="E927" s="89"/>
      <c r="F927" s="89"/>
      <c r="G927" s="163"/>
      <c r="H927" s="167">
        <v>21400</v>
      </c>
      <c r="I927" s="89" t="s">
        <v>93</v>
      </c>
      <c r="J927" s="60"/>
      <c r="K927" s="60"/>
      <c r="L927" s="60"/>
      <c r="M927" s="60">
        <v>1</v>
      </c>
      <c r="N927" s="60">
        <v>1</v>
      </c>
      <c r="O927" s="60">
        <v>1</v>
      </c>
      <c r="P927" s="60">
        <v>1</v>
      </c>
      <c r="Q927" s="60">
        <v>1</v>
      </c>
      <c r="R927" s="60">
        <v>1</v>
      </c>
      <c r="S927" s="60">
        <v>1</v>
      </c>
      <c r="T927" s="60"/>
      <c r="U927" s="60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  <c r="BG927" s="56"/>
      <c r="BH927" s="56"/>
      <c r="BI927" s="56"/>
      <c r="BJ927" s="56"/>
      <c r="BK927" s="56"/>
    </row>
    <row r="928" spans="1:63" x14ac:dyDescent="0.25">
      <c r="A928" s="25">
        <v>917</v>
      </c>
      <c r="B928" s="23"/>
      <c r="C928" s="11" t="s">
        <v>921</v>
      </c>
      <c r="D928" s="23"/>
      <c r="E928" s="2">
        <f>4*2</f>
        <v>8</v>
      </c>
      <c r="F928" s="2" t="s">
        <v>152</v>
      </c>
      <c r="G928" s="24">
        <v>900</v>
      </c>
      <c r="H928" s="165">
        <f>G928*E928</f>
        <v>7200</v>
      </c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56"/>
    </row>
    <row r="929" spans="1:22" x14ac:dyDescent="0.25">
      <c r="A929" s="25">
        <v>918</v>
      </c>
      <c r="B929" s="23"/>
      <c r="C929" s="11" t="s">
        <v>767</v>
      </c>
      <c r="D929" s="23"/>
      <c r="E929" s="2">
        <f>2*2</f>
        <v>4</v>
      </c>
      <c r="F929" s="2" t="s">
        <v>152</v>
      </c>
      <c r="G929" s="24">
        <v>3550</v>
      </c>
      <c r="H929" s="165">
        <f>G929*E929</f>
        <v>14200</v>
      </c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56"/>
    </row>
    <row r="930" spans="1:22" x14ac:dyDescent="0.25">
      <c r="A930" s="25">
        <v>919</v>
      </c>
      <c r="B930" s="23"/>
      <c r="C930" s="14"/>
      <c r="D930" s="23"/>
      <c r="E930" s="84"/>
      <c r="F930" s="23"/>
      <c r="G930" s="165"/>
      <c r="H930" s="165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56"/>
    </row>
    <row r="931" spans="1:22" ht="30" x14ac:dyDescent="0.25">
      <c r="A931" s="25">
        <v>920</v>
      </c>
      <c r="B931" s="89" t="s">
        <v>91</v>
      </c>
      <c r="C931" s="90" t="s">
        <v>109</v>
      </c>
      <c r="D931" s="89" t="s">
        <v>27</v>
      </c>
      <c r="E931" s="89"/>
      <c r="F931" s="89"/>
      <c r="G931" s="163"/>
      <c r="H931" s="167">
        <v>13600</v>
      </c>
      <c r="I931" s="89" t="s">
        <v>93</v>
      </c>
      <c r="J931" s="60">
        <v>1</v>
      </c>
      <c r="K931" s="60">
        <v>1</v>
      </c>
      <c r="L931" s="60">
        <v>1</v>
      </c>
      <c r="M931" s="60">
        <v>1</v>
      </c>
      <c r="N931" s="60">
        <v>1</v>
      </c>
      <c r="O931" s="60">
        <v>1</v>
      </c>
      <c r="P931" s="60">
        <v>1</v>
      </c>
      <c r="Q931" s="60">
        <v>1</v>
      </c>
      <c r="R931" s="60">
        <v>1</v>
      </c>
      <c r="S931" s="60">
        <v>1</v>
      </c>
      <c r="T931" s="60">
        <v>1</v>
      </c>
      <c r="U931" s="60">
        <v>1</v>
      </c>
      <c r="V931" s="56"/>
    </row>
    <row r="932" spans="1:22" x14ac:dyDescent="0.25">
      <c r="A932" s="25">
        <v>921</v>
      </c>
      <c r="B932" s="23"/>
      <c r="C932" s="41" t="s">
        <v>935</v>
      </c>
      <c r="D932" s="23"/>
      <c r="E932" s="29">
        <v>4</v>
      </c>
      <c r="F932" s="29" t="s">
        <v>152</v>
      </c>
      <c r="G932" s="30">
        <v>1500</v>
      </c>
      <c r="H932" s="165">
        <f>E932*G932</f>
        <v>6000</v>
      </c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56"/>
    </row>
    <row r="933" spans="1:22" x14ac:dyDescent="0.25">
      <c r="A933" s="25">
        <v>922</v>
      </c>
      <c r="B933" s="23"/>
      <c r="C933" s="41" t="s">
        <v>937</v>
      </c>
      <c r="D933" s="23"/>
      <c r="E933" s="29">
        <v>4</v>
      </c>
      <c r="F933" s="29" t="s">
        <v>152</v>
      </c>
      <c r="G933" s="30">
        <v>850</v>
      </c>
      <c r="H933" s="165">
        <f>E933*G933</f>
        <v>3400</v>
      </c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56"/>
    </row>
    <row r="934" spans="1:22" x14ac:dyDescent="0.25">
      <c r="A934" s="25">
        <v>923</v>
      </c>
      <c r="B934" s="23"/>
      <c r="C934" s="41" t="s">
        <v>938</v>
      </c>
      <c r="D934" s="23"/>
      <c r="E934" s="29">
        <v>6</v>
      </c>
      <c r="F934" s="8" t="s">
        <v>291</v>
      </c>
      <c r="G934" s="30">
        <v>280</v>
      </c>
      <c r="H934" s="165">
        <f>E934*G934</f>
        <v>1680</v>
      </c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56"/>
    </row>
    <row r="935" spans="1:22" x14ac:dyDescent="0.25">
      <c r="A935" s="25">
        <v>924</v>
      </c>
      <c r="B935" s="23"/>
      <c r="C935" s="41" t="s">
        <v>939</v>
      </c>
      <c r="D935" s="23"/>
      <c r="E935" s="29">
        <v>9</v>
      </c>
      <c r="F935" s="8" t="s">
        <v>291</v>
      </c>
      <c r="G935" s="30">
        <v>280</v>
      </c>
      <c r="H935" s="165">
        <f>E935*G935</f>
        <v>2520</v>
      </c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56"/>
    </row>
    <row r="936" spans="1:22" x14ac:dyDescent="0.25">
      <c r="A936" s="25">
        <v>925</v>
      </c>
      <c r="B936" s="23"/>
      <c r="C936" s="14"/>
      <c r="D936" s="23"/>
      <c r="E936" s="84"/>
      <c r="F936" s="23"/>
      <c r="G936" s="165"/>
      <c r="H936" s="165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56"/>
    </row>
    <row r="937" spans="1:22" ht="30" x14ac:dyDescent="0.25">
      <c r="A937" s="25">
        <v>926</v>
      </c>
      <c r="B937" s="89" t="s">
        <v>91</v>
      </c>
      <c r="C937" s="90" t="s">
        <v>94</v>
      </c>
      <c r="D937" s="89" t="s">
        <v>27</v>
      </c>
      <c r="E937" s="89"/>
      <c r="F937" s="89"/>
      <c r="G937" s="163"/>
      <c r="H937" s="167">
        <v>96320</v>
      </c>
      <c r="I937" s="89" t="s">
        <v>93</v>
      </c>
      <c r="J937" s="60">
        <v>1</v>
      </c>
      <c r="K937" s="60">
        <v>1</v>
      </c>
      <c r="L937" s="60">
        <v>1</v>
      </c>
      <c r="M937" s="60">
        <v>1</v>
      </c>
      <c r="N937" s="60">
        <v>1</v>
      </c>
      <c r="O937" s="60">
        <v>1</v>
      </c>
      <c r="P937" s="60">
        <v>1</v>
      </c>
      <c r="Q937" s="60">
        <v>1</v>
      </c>
      <c r="R937" s="60">
        <v>1</v>
      </c>
      <c r="S937" s="60">
        <v>1</v>
      </c>
      <c r="T937" s="60">
        <v>1</v>
      </c>
      <c r="U937" s="60">
        <v>1</v>
      </c>
      <c r="V937" s="56"/>
    </row>
    <row r="938" spans="1:22" x14ac:dyDescent="0.25">
      <c r="A938" s="25">
        <v>927</v>
      </c>
      <c r="B938" s="23"/>
      <c r="C938" s="41" t="s">
        <v>1428</v>
      </c>
      <c r="D938" s="23"/>
      <c r="E938" s="29">
        <f>8*2</f>
        <v>16</v>
      </c>
      <c r="F938" s="8" t="s">
        <v>291</v>
      </c>
      <c r="G938" s="30">
        <v>580</v>
      </c>
      <c r="H938" s="165">
        <f>E938*G938</f>
        <v>9280</v>
      </c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56"/>
    </row>
    <row r="939" spans="1:22" x14ac:dyDescent="0.25">
      <c r="A939" s="25">
        <v>928</v>
      </c>
      <c r="B939" s="23"/>
      <c r="C939" s="41" t="s">
        <v>1429</v>
      </c>
      <c r="D939" s="23"/>
      <c r="E939" s="29">
        <f t="shared" ref="E939:E941" si="59">8*2</f>
        <v>16</v>
      </c>
      <c r="F939" s="8" t="s">
        <v>291</v>
      </c>
      <c r="G939" s="30">
        <v>580</v>
      </c>
      <c r="H939" s="165">
        <f t="shared" ref="H939:H943" si="60">E939*G939</f>
        <v>9280</v>
      </c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56"/>
    </row>
    <row r="940" spans="1:22" x14ac:dyDescent="0.25">
      <c r="A940" s="25">
        <v>929</v>
      </c>
      <c r="B940" s="23"/>
      <c r="C940" s="41" t="s">
        <v>938</v>
      </c>
      <c r="D940" s="23"/>
      <c r="E940" s="29">
        <f t="shared" si="59"/>
        <v>16</v>
      </c>
      <c r="F940" s="8" t="s">
        <v>291</v>
      </c>
      <c r="G940" s="30">
        <v>280</v>
      </c>
      <c r="H940" s="165">
        <f t="shared" si="60"/>
        <v>4480</v>
      </c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56"/>
    </row>
    <row r="941" spans="1:22" x14ac:dyDescent="0.25">
      <c r="A941" s="25">
        <v>930</v>
      </c>
      <c r="B941" s="23"/>
      <c r="C941" s="41" t="s">
        <v>939</v>
      </c>
      <c r="D941" s="23"/>
      <c r="E941" s="29">
        <f t="shared" si="59"/>
        <v>16</v>
      </c>
      <c r="F941" s="8" t="s">
        <v>291</v>
      </c>
      <c r="G941" s="30">
        <v>280</v>
      </c>
      <c r="H941" s="165">
        <f t="shared" si="60"/>
        <v>4480</v>
      </c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56"/>
    </row>
    <row r="942" spans="1:22" x14ac:dyDescent="0.25">
      <c r="A942" s="25">
        <v>931</v>
      </c>
      <c r="B942" s="23"/>
      <c r="C942" s="41" t="s">
        <v>979</v>
      </c>
      <c r="D942" s="23"/>
      <c r="E942" s="29">
        <f>4*2</f>
        <v>8</v>
      </c>
      <c r="F942" s="29" t="s">
        <v>152</v>
      </c>
      <c r="G942" s="30">
        <v>5100</v>
      </c>
      <c r="H942" s="165">
        <f t="shared" si="60"/>
        <v>40800</v>
      </c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56"/>
    </row>
    <row r="943" spans="1:22" x14ac:dyDescent="0.25">
      <c r="A943" s="25">
        <v>932</v>
      </c>
      <c r="B943" s="23"/>
      <c r="C943" s="41" t="s">
        <v>980</v>
      </c>
      <c r="D943" s="23"/>
      <c r="E943" s="29">
        <f>5*2</f>
        <v>10</v>
      </c>
      <c r="F943" s="29" t="s">
        <v>152</v>
      </c>
      <c r="G943" s="30">
        <v>2800</v>
      </c>
      <c r="H943" s="165">
        <f t="shared" si="60"/>
        <v>28000</v>
      </c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56"/>
    </row>
    <row r="944" spans="1:22" x14ac:dyDescent="0.25">
      <c r="A944" s="25">
        <v>933</v>
      </c>
      <c r="B944" s="23"/>
      <c r="C944" s="14"/>
      <c r="D944" s="23"/>
      <c r="E944" s="84"/>
      <c r="F944" s="23"/>
      <c r="G944" s="165"/>
      <c r="H944" s="165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56"/>
    </row>
    <row r="945" spans="1:22" ht="30" x14ac:dyDescent="0.25">
      <c r="A945" s="25">
        <v>934</v>
      </c>
      <c r="B945" s="89" t="s">
        <v>91</v>
      </c>
      <c r="C945" s="90" t="s">
        <v>35</v>
      </c>
      <c r="D945" s="89" t="s">
        <v>27</v>
      </c>
      <c r="E945" s="89"/>
      <c r="F945" s="89"/>
      <c r="G945" s="163"/>
      <c r="H945" s="167">
        <v>1610082</v>
      </c>
      <c r="I945" s="89" t="s">
        <v>93</v>
      </c>
      <c r="J945" s="60"/>
      <c r="K945" s="60"/>
      <c r="L945" s="60"/>
      <c r="M945" s="60">
        <v>4</v>
      </c>
      <c r="N945" s="60">
        <v>1</v>
      </c>
      <c r="O945" s="60">
        <v>2</v>
      </c>
      <c r="P945" s="60">
        <v>4</v>
      </c>
      <c r="Q945" s="60"/>
      <c r="R945" s="60"/>
      <c r="S945" s="60"/>
      <c r="T945" s="60"/>
      <c r="U945" s="60"/>
      <c r="V945" s="56"/>
    </row>
    <row r="946" spans="1:22" x14ac:dyDescent="0.25">
      <c r="A946" s="25">
        <v>935</v>
      </c>
      <c r="B946" s="23"/>
      <c r="C946" s="14" t="s">
        <v>982</v>
      </c>
      <c r="D946" s="23"/>
      <c r="E946" s="84"/>
      <c r="F946" s="23"/>
      <c r="G946" s="165"/>
      <c r="H946" s="165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56"/>
    </row>
    <row r="947" spans="1:22" x14ac:dyDescent="0.25">
      <c r="A947" s="25">
        <v>936</v>
      </c>
      <c r="B947" s="23"/>
      <c r="C947" s="1" t="s">
        <v>783</v>
      </c>
      <c r="D947" s="23"/>
      <c r="E947" s="8">
        <v>142</v>
      </c>
      <c r="F947" s="8" t="s">
        <v>291</v>
      </c>
      <c r="G947" s="165">
        <v>594.44153500000004</v>
      </c>
      <c r="H947" s="165">
        <v>84411.05</v>
      </c>
      <c r="I947" s="66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56"/>
    </row>
    <row r="948" spans="1:22" x14ac:dyDescent="0.25">
      <c r="A948" s="25">
        <v>937</v>
      </c>
      <c r="B948" s="23"/>
      <c r="C948" s="16" t="s">
        <v>981</v>
      </c>
      <c r="D948" s="23"/>
      <c r="E948" s="8">
        <v>1745</v>
      </c>
      <c r="F948" s="29" t="s">
        <v>152</v>
      </c>
      <c r="G948" s="31">
        <v>874.31</v>
      </c>
      <c r="H948" s="209">
        <f>G948*E948</f>
        <v>1525670.95</v>
      </c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56"/>
    </row>
    <row r="949" spans="1:22" x14ac:dyDescent="0.25">
      <c r="A949" s="25">
        <v>938</v>
      </c>
      <c r="B949" s="23"/>
      <c r="C949" s="14"/>
      <c r="D949" s="23"/>
      <c r="E949" s="84"/>
      <c r="F949" s="23"/>
      <c r="G949" s="210"/>
      <c r="H949" s="165"/>
      <c r="I949" s="66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56"/>
    </row>
    <row r="950" spans="1:22" ht="30" x14ac:dyDescent="0.25">
      <c r="A950" s="25">
        <v>939</v>
      </c>
      <c r="B950" s="89" t="s">
        <v>91</v>
      </c>
      <c r="C950" s="90" t="s">
        <v>99</v>
      </c>
      <c r="D950" s="89" t="s">
        <v>27</v>
      </c>
      <c r="E950" s="89"/>
      <c r="F950" s="89"/>
      <c r="G950" s="163"/>
      <c r="H950" s="167">
        <v>32656</v>
      </c>
      <c r="I950" s="89" t="s">
        <v>93</v>
      </c>
      <c r="J950" s="60"/>
      <c r="K950" s="60"/>
      <c r="L950" s="60"/>
      <c r="M950" s="60">
        <v>2</v>
      </c>
      <c r="N950" s="60">
        <v>2</v>
      </c>
      <c r="O950" s="60"/>
      <c r="P950" s="60">
        <v>1</v>
      </c>
      <c r="Q950" s="60"/>
      <c r="R950" s="60">
        <v>1</v>
      </c>
      <c r="S950" s="60">
        <v>1</v>
      </c>
      <c r="T950" s="60"/>
      <c r="U950" s="60"/>
      <c r="V950" s="56"/>
    </row>
    <row r="951" spans="1:22" x14ac:dyDescent="0.25">
      <c r="A951" s="25">
        <v>940</v>
      </c>
      <c r="B951" s="23"/>
      <c r="C951" s="11" t="s">
        <v>784</v>
      </c>
      <c r="D951" s="23"/>
      <c r="E951" s="2">
        <f>8*2</f>
        <v>16</v>
      </c>
      <c r="F951" s="2" t="s">
        <v>152</v>
      </c>
      <c r="G951" s="24">
        <v>750</v>
      </c>
      <c r="H951" s="165">
        <f t="shared" ref="H951:H956" si="61">G951*E951</f>
        <v>12000</v>
      </c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56"/>
    </row>
    <row r="952" spans="1:22" x14ac:dyDescent="0.25">
      <c r="A952" s="25">
        <v>941</v>
      </c>
      <c r="B952" s="23"/>
      <c r="C952" s="11" t="s">
        <v>767</v>
      </c>
      <c r="D952" s="23"/>
      <c r="E952" s="2">
        <f>2*2</f>
        <v>4</v>
      </c>
      <c r="F952" s="2" t="s">
        <v>152</v>
      </c>
      <c r="G952" s="24">
        <v>3550</v>
      </c>
      <c r="H952" s="165">
        <f t="shared" si="61"/>
        <v>14200</v>
      </c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56"/>
    </row>
    <row r="953" spans="1:22" x14ac:dyDescent="0.25">
      <c r="A953" s="25">
        <v>942</v>
      </c>
      <c r="B953" s="23"/>
      <c r="C953" s="119" t="s">
        <v>993</v>
      </c>
      <c r="D953" s="23"/>
      <c r="E953" s="120">
        <f>2*2</f>
        <v>4</v>
      </c>
      <c r="F953" s="8" t="s">
        <v>291</v>
      </c>
      <c r="G953" s="121">
        <v>381</v>
      </c>
      <c r="H953" s="165">
        <f t="shared" si="61"/>
        <v>1524</v>
      </c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56"/>
    </row>
    <row r="954" spans="1:22" x14ac:dyDescent="0.25">
      <c r="A954" s="25">
        <v>943</v>
      </c>
      <c r="B954" s="23"/>
      <c r="C954" s="119" t="s">
        <v>994</v>
      </c>
      <c r="D954" s="23"/>
      <c r="E954" s="120">
        <f>2*2</f>
        <v>4</v>
      </c>
      <c r="F954" s="8" t="s">
        <v>291</v>
      </c>
      <c r="G954" s="121">
        <v>411</v>
      </c>
      <c r="H954" s="165">
        <f t="shared" si="61"/>
        <v>1644</v>
      </c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56"/>
    </row>
    <row r="955" spans="1:22" x14ac:dyDescent="0.25">
      <c r="A955" s="25">
        <v>944</v>
      </c>
      <c r="B955" s="23"/>
      <c r="C955" s="119" t="s">
        <v>995</v>
      </c>
      <c r="D955" s="23"/>
      <c r="E955" s="120">
        <f>2*2</f>
        <v>4</v>
      </c>
      <c r="F955" s="8" t="s">
        <v>291</v>
      </c>
      <c r="G955" s="121">
        <v>411</v>
      </c>
      <c r="H955" s="165">
        <f t="shared" si="61"/>
        <v>1644</v>
      </c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56"/>
    </row>
    <row r="956" spans="1:22" x14ac:dyDescent="0.25">
      <c r="A956" s="25">
        <v>945</v>
      </c>
      <c r="B956" s="23"/>
      <c r="C956" s="119" t="s">
        <v>996</v>
      </c>
      <c r="D956" s="23"/>
      <c r="E956" s="120">
        <f>2*2</f>
        <v>4</v>
      </c>
      <c r="F956" s="8" t="s">
        <v>291</v>
      </c>
      <c r="G956" s="121">
        <v>411</v>
      </c>
      <c r="H956" s="165">
        <f t="shared" si="61"/>
        <v>1644</v>
      </c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56"/>
    </row>
    <row r="957" spans="1:22" x14ac:dyDescent="0.25">
      <c r="A957" s="25">
        <v>946</v>
      </c>
      <c r="B957" s="23"/>
      <c r="C957" s="11"/>
      <c r="D957" s="23"/>
      <c r="E957" s="2"/>
      <c r="F957" s="2"/>
      <c r="G957" s="24"/>
      <c r="H957" s="165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56"/>
    </row>
    <row r="958" spans="1:22" ht="30" x14ac:dyDescent="0.25">
      <c r="A958" s="25">
        <v>947</v>
      </c>
      <c r="B958" s="89" t="s">
        <v>91</v>
      </c>
      <c r="C958" s="90" t="s">
        <v>43</v>
      </c>
      <c r="D958" s="89" t="s">
        <v>27</v>
      </c>
      <c r="E958" s="89"/>
      <c r="F958" s="89"/>
      <c r="G958" s="163"/>
      <c r="H958" s="167">
        <v>60500</v>
      </c>
      <c r="I958" s="89" t="s">
        <v>93</v>
      </c>
      <c r="J958" s="60"/>
      <c r="K958" s="60"/>
      <c r="L958" s="60"/>
      <c r="M958" s="60">
        <v>2</v>
      </c>
      <c r="N958" s="60">
        <v>1</v>
      </c>
      <c r="O958" s="60"/>
      <c r="P958" s="60">
        <v>2</v>
      </c>
      <c r="Q958" s="60"/>
      <c r="R958" s="60"/>
      <c r="S958" s="60"/>
      <c r="T958" s="60"/>
      <c r="U958" s="60"/>
      <c r="V958" s="56"/>
    </row>
    <row r="959" spans="1:22" x14ac:dyDescent="0.25">
      <c r="A959" s="25">
        <v>948</v>
      </c>
      <c r="B959" s="23"/>
      <c r="C959" s="11" t="s">
        <v>1426</v>
      </c>
      <c r="D959" s="23"/>
      <c r="E959" s="2">
        <v>55</v>
      </c>
      <c r="F959" s="2" t="s">
        <v>1002</v>
      </c>
      <c r="G959" s="13">
        <v>550</v>
      </c>
      <c r="H959" s="165">
        <f>G959*E959</f>
        <v>30250</v>
      </c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56"/>
    </row>
    <row r="960" spans="1:22" x14ac:dyDescent="0.25">
      <c r="A960" s="25">
        <v>949</v>
      </c>
      <c r="B960" s="23"/>
      <c r="C960" s="11" t="s">
        <v>1427</v>
      </c>
      <c r="D960" s="23"/>
      <c r="E960" s="2">
        <v>55</v>
      </c>
      <c r="F960" s="2" t="s">
        <v>1002</v>
      </c>
      <c r="G960" s="13">
        <v>550</v>
      </c>
      <c r="H960" s="165">
        <f>G960*E960</f>
        <v>30250</v>
      </c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56"/>
    </row>
    <row r="961" spans="1:22" x14ac:dyDescent="0.25">
      <c r="A961" s="25">
        <v>950</v>
      </c>
      <c r="B961" s="23"/>
      <c r="C961" s="14"/>
      <c r="D961" s="23"/>
      <c r="E961" s="84"/>
      <c r="F961" s="23"/>
      <c r="G961" s="165"/>
      <c r="H961" s="165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56"/>
    </row>
    <row r="962" spans="1:22" ht="30" x14ac:dyDescent="0.25">
      <c r="A962" s="25">
        <v>951</v>
      </c>
      <c r="B962" s="89" t="s">
        <v>91</v>
      </c>
      <c r="C962" s="90" t="s">
        <v>107</v>
      </c>
      <c r="D962" s="89" t="s">
        <v>27</v>
      </c>
      <c r="E962" s="89"/>
      <c r="F962" s="89"/>
      <c r="G962" s="163"/>
      <c r="H962" s="167">
        <v>8800</v>
      </c>
      <c r="I962" s="89" t="s">
        <v>93</v>
      </c>
      <c r="J962" s="60">
        <v>2</v>
      </c>
      <c r="K962" s="60">
        <v>2</v>
      </c>
      <c r="L962" s="60">
        <v>2</v>
      </c>
      <c r="M962" s="60">
        <v>2</v>
      </c>
      <c r="N962" s="60">
        <v>2</v>
      </c>
      <c r="O962" s="60">
        <v>2</v>
      </c>
      <c r="P962" s="60">
        <v>2</v>
      </c>
      <c r="Q962" s="60">
        <v>2</v>
      </c>
      <c r="R962" s="60">
        <v>2</v>
      </c>
      <c r="S962" s="60">
        <v>2</v>
      </c>
      <c r="T962" s="60">
        <v>2</v>
      </c>
      <c r="U962" s="60">
        <v>2</v>
      </c>
      <c r="V962" s="56"/>
    </row>
    <row r="963" spans="1:22" x14ac:dyDescent="0.25">
      <c r="A963" s="25">
        <v>952</v>
      </c>
      <c r="B963" s="23"/>
      <c r="C963" s="1" t="s">
        <v>1422</v>
      </c>
      <c r="D963" s="23"/>
      <c r="E963" s="8">
        <v>8</v>
      </c>
      <c r="F963" s="8" t="s">
        <v>291</v>
      </c>
      <c r="G963" s="47">
        <v>275</v>
      </c>
      <c r="H963" s="165">
        <f>G963*E963</f>
        <v>2200</v>
      </c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56"/>
    </row>
    <row r="964" spans="1:22" x14ac:dyDescent="0.25">
      <c r="A964" s="25">
        <v>953</v>
      </c>
      <c r="B964" s="23"/>
      <c r="C964" s="1" t="s">
        <v>1425</v>
      </c>
      <c r="D964" s="23"/>
      <c r="E964" s="8">
        <v>8</v>
      </c>
      <c r="F964" s="8" t="s">
        <v>291</v>
      </c>
      <c r="G964" s="47">
        <v>275</v>
      </c>
      <c r="H964" s="165">
        <f>G964*E964</f>
        <v>2200</v>
      </c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56"/>
    </row>
    <row r="965" spans="1:22" x14ac:dyDescent="0.25">
      <c r="A965" s="25">
        <v>954</v>
      </c>
      <c r="B965" s="23"/>
      <c r="C965" s="1" t="s">
        <v>1423</v>
      </c>
      <c r="D965" s="23"/>
      <c r="E965" s="8">
        <v>8</v>
      </c>
      <c r="F965" s="8" t="s">
        <v>291</v>
      </c>
      <c r="G965" s="47">
        <v>275</v>
      </c>
      <c r="H965" s="165">
        <f>G965*E965</f>
        <v>2200</v>
      </c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56"/>
    </row>
    <row r="966" spans="1:22" x14ac:dyDescent="0.25">
      <c r="A966" s="25">
        <v>955</v>
      </c>
      <c r="B966" s="23"/>
      <c r="C966" s="1" t="s">
        <v>1424</v>
      </c>
      <c r="D966" s="23"/>
      <c r="E966" s="8">
        <v>8</v>
      </c>
      <c r="F966" s="8" t="s">
        <v>291</v>
      </c>
      <c r="G966" s="47">
        <v>275</v>
      </c>
      <c r="H966" s="165">
        <f>G966*E966</f>
        <v>2200</v>
      </c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56"/>
    </row>
    <row r="967" spans="1:22" x14ac:dyDescent="0.25">
      <c r="A967" s="25">
        <v>956</v>
      </c>
      <c r="B967" s="23"/>
      <c r="C967" s="14"/>
      <c r="D967" s="23"/>
      <c r="E967" s="84"/>
      <c r="F967" s="23"/>
      <c r="G967" s="165"/>
      <c r="H967" s="165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56"/>
    </row>
    <row r="968" spans="1:22" ht="30" x14ac:dyDescent="0.25">
      <c r="A968" s="25">
        <v>957</v>
      </c>
      <c r="B968" s="89" t="s">
        <v>91</v>
      </c>
      <c r="C968" s="90" t="s">
        <v>105</v>
      </c>
      <c r="D968" s="89" t="s">
        <v>27</v>
      </c>
      <c r="E968" s="89"/>
      <c r="F968" s="89"/>
      <c r="G968" s="163"/>
      <c r="H968" s="167">
        <v>210500</v>
      </c>
      <c r="I968" s="89" t="s">
        <v>93</v>
      </c>
      <c r="J968" s="60">
        <v>2</v>
      </c>
      <c r="K968" s="60">
        <v>2</v>
      </c>
      <c r="L968" s="60">
        <v>1</v>
      </c>
      <c r="M968" s="60">
        <v>2</v>
      </c>
      <c r="N968" s="60"/>
      <c r="O968" s="60"/>
      <c r="P968" s="60">
        <v>2</v>
      </c>
      <c r="Q968" s="60"/>
      <c r="R968" s="60"/>
      <c r="S968" s="60">
        <v>1</v>
      </c>
      <c r="T968" s="60"/>
      <c r="U968" s="60"/>
      <c r="V968" s="56"/>
    </row>
    <row r="969" spans="1:22" x14ac:dyDescent="0.25">
      <c r="A969" s="25">
        <v>958</v>
      </c>
      <c r="B969" s="23"/>
      <c r="C969" s="14" t="s">
        <v>1042</v>
      </c>
      <c r="D969" s="23"/>
      <c r="E969" s="23">
        <v>20</v>
      </c>
      <c r="F969" s="23" t="s">
        <v>152</v>
      </c>
      <c r="G969" s="122">
        <v>9000</v>
      </c>
      <c r="H969" s="165">
        <f>G969*E969</f>
        <v>180000</v>
      </c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56"/>
    </row>
    <row r="970" spans="1:22" x14ac:dyDescent="0.25">
      <c r="A970" s="25">
        <v>959</v>
      </c>
      <c r="B970" s="23"/>
      <c r="C970" s="14" t="s">
        <v>1043</v>
      </c>
      <c r="D970" s="23"/>
      <c r="E970" s="33">
        <v>18</v>
      </c>
      <c r="F970" s="33" t="s">
        <v>152</v>
      </c>
      <c r="G970" s="122">
        <v>1500</v>
      </c>
      <c r="H970" s="165">
        <f>G970*E970</f>
        <v>27000</v>
      </c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56"/>
    </row>
    <row r="971" spans="1:22" x14ac:dyDescent="0.25">
      <c r="A971" s="25">
        <v>960</v>
      </c>
      <c r="B971" s="23"/>
      <c r="C971" s="93" t="s">
        <v>1044</v>
      </c>
      <c r="D971" s="23"/>
      <c r="E971" s="23">
        <v>10</v>
      </c>
      <c r="F971" s="8" t="s">
        <v>291</v>
      </c>
      <c r="G971" s="123">
        <v>350</v>
      </c>
      <c r="H971" s="165">
        <f>G971*E971</f>
        <v>3500</v>
      </c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56"/>
    </row>
    <row r="972" spans="1:22" x14ac:dyDescent="0.25">
      <c r="A972" s="25">
        <v>961</v>
      </c>
      <c r="B972" s="23"/>
      <c r="C972" s="14"/>
      <c r="D972" s="23"/>
      <c r="E972" s="84"/>
      <c r="F972" s="23"/>
      <c r="G972" s="165"/>
      <c r="H972" s="165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56"/>
    </row>
    <row r="973" spans="1:22" ht="30" x14ac:dyDescent="0.25">
      <c r="A973" s="25">
        <v>962</v>
      </c>
      <c r="B973" s="89" t="s">
        <v>91</v>
      </c>
      <c r="C973" s="90" t="s">
        <v>95</v>
      </c>
      <c r="D973" s="89" t="s">
        <v>27</v>
      </c>
      <c r="E973" s="89"/>
      <c r="F973" s="89"/>
      <c r="G973" s="163"/>
      <c r="H973" s="167">
        <v>89700</v>
      </c>
      <c r="I973" s="89" t="s">
        <v>93</v>
      </c>
      <c r="J973" s="60">
        <v>2</v>
      </c>
      <c r="K973" s="60">
        <v>2</v>
      </c>
      <c r="L973" s="60">
        <v>2</v>
      </c>
      <c r="M973" s="60">
        <v>2</v>
      </c>
      <c r="N973" s="60">
        <v>2</v>
      </c>
      <c r="O973" s="60">
        <v>2</v>
      </c>
      <c r="P973" s="60">
        <v>2</v>
      </c>
      <c r="Q973" s="60">
        <v>2</v>
      </c>
      <c r="R973" s="60">
        <v>2</v>
      </c>
      <c r="S973" s="60">
        <v>2</v>
      </c>
      <c r="T973" s="60">
        <v>2</v>
      </c>
      <c r="U973" s="60">
        <v>2</v>
      </c>
      <c r="V973" s="56"/>
    </row>
    <row r="974" spans="1:22" x14ac:dyDescent="0.25">
      <c r="A974" s="25">
        <v>963</v>
      </c>
      <c r="B974" s="23"/>
      <c r="C974" s="1" t="s">
        <v>761</v>
      </c>
      <c r="D974" s="23"/>
      <c r="E974" s="8">
        <v>92</v>
      </c>
      <c r="F974" s="8" t="s">
        <v>291</v>
      </c>
      <c r="G974" s="49">
        <v>390</v>
      </c>
      <c r="H974" s="165">
        <f>G974*E974</f>
        <v>35880</v>
      </c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56"/>
    </row>
    <row r="975" spans="1:22" x14ac:dyDescent="0.25">
      <c r="A975" s="25">
        <v>964</v>
      </c>
      <c r="B975" s="23"/>
      <c r="C975" s="1" t="s">
        <v>762</v>
      </c>
      <c r="D975" s="23"/>
      <c r="E975" s="8">
        <v>46</v>
      </c>
      <c r="F975" s="8" t="s">
        <v>291</v>
      </c>
      <c r="G975" s="49">
        <v>390</v>
      </c>
      <c r="H975" s="165">
        <f>G975*E975</f>
        <v>17940</v>
      </c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56"/>
    </row>
    <row r="976" spans="1:22" x14ac:dyDescent="0.25">
      <c r="A976" s="25">
        <v>965</v>
      </c>
      <c r="B976" s="23"/>
      <c r="C976" s="1" t="s">
        <v>763</v>
      </c>
      <c r="D976" s="23"/>
      <c r="E976" s="8">
        <v>46</v>
      </c>
      <c r="F976" s="8" t="s">
        <v>291</v>
      </c>
      <c r="G976" s="49">
        <v>390</v>
      </c>
      <c r="H976" s="165">
        <f>G976*E976</f>
        <v>17940</v>
      </c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56"/>
    </row>
    <row r="977" spans="1:22" x14ac:dyDescent="0.25">
      <c r="A977" s="25">
        <v>966</v>
      </c>
      <c r="B977" s="23"/>
      <c r="C977" s="1" t="s">
        <v>764</v>
      </c>
      <c r="D977" s="23"/>
      <c r="E977" s="8">
        <v>46</v>
      </c>
      <c r="F977" s="8" t="s">
        <v>291</v>
      </c>
      <c r="G977" s="49">
        <v>390</v>
      </c>
      <c r="H977" s="165">
        <f>G977*E977</f>
        <v>17940</v>
      </c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56"/>
    </row>
    <row r="978" spans="1:22" x14ac:dyDescent="0.25">
      <c r="A978" s="25">
        <v>967</v>
      </c>
      <c r="B978" s="23"/>
      <c r="C978" s="14"/>
      <c r="D978" s="23"/>
      <c r="E978" s="84"/>
      <c r="F978" s="23"/>
      <c r="G978" s="165"/>
      <c r="H978" s="165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56"/>
    </row>
    <row r="979" spans="1:22" ht="30" x14ac:dyDescent="0.25">
      <c r="A979" s="25">
        <v>968</v>
      </c>
      <c r="B979" s="89" t="s">
        <v>91</v>
      </c>
      <c r="C979" s="90" t="s">
        <v>108</v>
      </c>
      <c r="D979" s="89" t="s">
        <v>27</v>
      </c>
      <c r="E979" s="89"/>
      <c r="F979" s="89"/>
      <c r="G979" s="163"/>
      <c r="H979" s="167">
        <v>39150</v>
      </c>
      <c r="I979" s="89" t="s">
        <v>93</v>
      </c>
      <c r="J979" s="60">
        <v>1</v>
      </c>
      <c r="K979" s="60"/>
      <c r="L979" s="60">
        <v>1</v>
      </c>
      <c r="M979" s="60"/>
      <c r="N979" s="60"/>
      <c r="O979" s="60"/>
      <c r="P979" s="60"/>
      <c r="Q979" s="60"/>
      <c r="R979" s="60"/>
      <c r="S979" s="60"/>
      <c r="T979" s="60"/>
      <c r="U979" s="60"/>
      <c r="V979" s="56"/>
    </row>
    <row r="980" spans="1:22" x14ac:dyDescent="0.25">
      <c r="A980" s="25">
        <v>969</v>
      </c>
      <c r="B980" s="23"/>
      <c r="C980" s="39" t="s">
        <v>296</v>
      </c>
      <c r="D980" s="23"/>
      <c r="E980" s="36">
        <v>90</v>
      </c>
      <c r="F980" s="8" t="s">
        <v>291</v>
      </c>
      <c r="G980" s="95">
        <v>400</v>
      </c>
      <c r="H980" s="165">
        <f>G980*E980</f>
        <v>36000</v>
      </c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56"/>
    </row>
    <row r="981" spans="1:22" x14ac:dyDescent="0.25">
      <c r="A981" s="25">
        <v>970</v>
      </c>
      <c r="B981" s="23"/>
      <c r="C981" s="39" t="s">
        <v>427</v>
      </c>
      <c r="D981" s="23"/>
      <c r="E981" s="36">
        <v>5</v>
      </c>
      <c r="F981" s="36" t="s">
        <v>152</v>
      </c>
      <c r="G981" s="95">
        <v>630</v>
      </c>
      <c r="H981" s="165">
        <f>G981*E981</f>
        <v>3150</v>
      </c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56"/>
    </row>
    <row r="982" spans="1:22" x14ac:dyDescent="0.25">
      <c r="A982" s="25">
        <v>971</v>
      </c>
      <c r="B982" s="23"/>
      <c r="C982" s="14"/>
      <c r="D982" s="23"/>
      <c r="E982" s="84"/>
      <c r="F982" s="23"/>
      <c r="G982" s="165"/>
      <c r="H982" s="165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56"/>
    </row>
    <row r="983" spans="1:22" ht="30" x14ac:dyDescent="0.25">
      <c r="A983" s="25">
        <v>972</v>
      </c>
      <c r="B983" s="89" t="s">
        <v>91</v>
      </c>
      <c r="C983" s="90" t="s">
        <v>100</v>
      </c>
      <c r="D983" s="89" t="s">
        <v>27</v>
      </c>
      <c r="E983" s="89"/>
      <c r="F983" s="89"/>
      <c r="G983" s="163"/>
      <c r="H983" s="167">
        <v>11380</v>
      </c>
      <c r="I983" s="89" t="s">
        <v>93</v>
      </c>
      <c r="J983" s="60">
        <v>1</v>
      </c>
      <c r="K983" s="60">
        <v>1</v>
      </c>
      <c r="L983" s="60">
        <v>1</v>
      </c>
      <c r="M983" s="60"/>
      <c r="N983" s="60"/>
      <c r="O983" s="60"/>
      <c r="P983" s="60">
        <v>1</v>
      </c>
      <c r="Q983" s="60"/>
      <c r="R983" s="60"/>
      <c r="S983" s="60">
        <v>1</v>
      </c>
      <c r="T983" s="60"/>
      <c r="U983" s="60">
        <v>1</v>
      </c>
      <c r="V983" s="56"/>
    </row>
    <row r="984" spans="1:22" x14ac:dyDescent="0.25">
      <c r="A984" s="25">
        <v>973</v>
      </c>
      <c r="B984" s="23"/>
      <c r="C984" s="41" t="s">
        <v>935</v>
      </c>
      <c r="D984" s="23"/>
      <c r="E984" s="29">
        <v>4</v>
      </c>
      <c r="F984" s="29" t="s">
        <v>152</v>
      </c>
      <c r="G984" s="30">
        <v>1500</v>
      </c>
      <c r="H984" s="165">
        <f>G984*E984</f>
        <v>6000</v>
      </c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56"/>
    </row>
    <row r="985" spans="1:22" x14ac:dyDescent="0.25">
      <c r="A985" s="25">
        <v>974</v>
      </c>
      <c r="B985" s="23"/>
      <c r="C985" s="41" t="s">
        <v>1056</v>
      </c>
      <c r="D985" s="23"/>
      <c r="E985" s="29">
        <v>2</v>
      </c>
      <c r="F985" s="29" t="s">
        <v>152</v>
      </c>
      <c r="G985" s="30">
        <v>990</v>
      </c>
      <c r="H985" s="165">
        <f>G985*E985</f>
        <v>1980</v>
      </c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56"/>
    </row>
    <row r="986" spans="1:22" x14ac:dyDescent="0.25">
      <c r="A986" s="25">
        <v>975</v>
      </c>
      <c r="B986" s="23"/>
      <c r="C986" s="41" t="s">
        <v>937</v>
      </c>
      <c r="D986" s="23"/>
      <c r="E986" s="29">
        <v>4</v>
      </c>
      <c r="F986" s="29" t="s">
        <v>152</v>
      </c>
      <c r="G986" s="30">
        <v>850</v>
      </c>
      <c r="H986" s="165">
        <f>G986*E986</f>
        <v>3400</v>
      </c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56"/>
    </row>
    <row r="987" spans="1:22" x14ac:dyDescent="0.25">
      <c r="A987" s="25">
        <v>976</v>
      </c>
      <c r="B987" s="23"/>
      <c r="C987" s="14"/>
      <c r="D987" s="23"/>
      <c r="E987" s="84"/>
      <c r="F987" s="23"/>
      <c r="G987" s="165"/>
      <c r="H987" s="165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56"/>
    </row>
    <row r="988" spans="1:22" ht="30" x14ac:dyDescent="0.25">
      <c r="A988" s="25">
        <v>977</v>
      </c>
      <c r="B988" s="89" t="s">
        <v>91</v>
      </c>
      <c r="C988" s="90" t="s">
        <v>106</v>
      </c>
      <c r="D988" s="89" t="s">
        <v>27</v>
      </c>
      <c r="E988" s="89"/>
      <c r="F988" s="89"/>
      <c r="G988" s="163"/>
      <c r="H988" s="167">
        <v>12000</v>
      </c>
      <c r="I988" s="89" t="s">
        <v>93</v>
      </c>
      <c r="J988" s="60"/>
      <c r="K988" s="60"/>
      <c r="L988" s="60"/>
      <c r="M988" s="60">
        <v>2</v>
      </c>
      <c r="N988" s="60"/>
      <c r="O988" s="60"/>
      <c r="P988" s="60">
        <v>2</v>
      </c>
      <c r="Q988" s="60">
        <v>2</v>
      </c>
      <c r="R988" s="60"/>
      <c r="S988" s="60"/>
      <c r="T988" s="60">
        <v>2</v>
      </c>
      <c r="U988" s="60"/>
      <c r="V988" s="56"/>
    </row>
    <row r="989" spans="1:22" x14ac:dyDescent="0.25">
      <c r="A989" s="25">
        <v>978</v>
      </c>
      <c r="B989" s="23"/>
      <c r="C989" s="32" t="s">
        <v>1061</v>
      </c>
      <c r="D989" s="23"/>
      <c r="E989" s="33">
        <f>4*2</f>
        <v>8</v>
      </c>
      <c r="F989" s="34" t="s">
        <v>571</v>
      </c>
      <c r="G989" s="35">
        <v>1500</v>
      </c>
      <c r="H989" s="165">
        <f>G989*E989</f>
        <v>12000</v>
      </c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56"/>
    </row>
    <row r="990" spans="1:22" x14ac:dyDescent="0.25">
      <c r="A990" s="25">
        <v>979</v>
      </c>
      <c r="B990" s="23"/>
      <c r="C990" s="14"/>
      <c r="D990" s="23"/>
      <c r="E990" s="84"/>
      <c r="F990" s="23"/>
      <c r="G990" s="165"/>
      <c r="H990" s="165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56"/>
    </row>
    <row r="991" spans="1:22" ht="30" x14ac:dyDescent="0.25">
      <c r="A991" s="25">
        <v>980</v>
      </c>
      <c r="B991" s="89" t="s">
        <v>91</v>
      </c>
      <c r="C991" s="90" t="s">
        <v>103</v>
      </c>
      <c r="D991" s="89" t="s">
        <v>27</v>
      </c>
      <c r="E991" s="89"/>
      <c r="F991" s="89"/>
      <c r="G991" s="163"/>
      <c r="H991" s="167">
        <v>6240</v>
      </c>
      <c r="I991" s="89" t="s">
        <v>93</v>
      </c>
      <c r="J991" s="60">
        <v>1</v>
      </c>
      <c r="K991" s="60"/>
      <c r="L991" s="60"/>
      <c r="M991" s="60">
        <v>1</v>
      </c>
      <c r="N991" s="60"/>
      <c r="O991" s="60"/>
      <c r="P991" s="60">
        <v>2</v>
      </c>
      <c r="Q991" s="60"/>
      <c r="R991" s="60"/>
      <c r="S991" s="60">
        <v>1</v>
      </c>
      <c r="T991" s="60"/>
      <c r="U991" s="60"/>
      <c r="V991" s="56"/>
    </row>
    <row r="992" spans="1:22" x14ac:dyDescent="0.25">
      <c r="A992" s="25">
        <v>981</v>
      </c>
      <c r="B992" s="23"/>
      <c r="C992" s="43" t="s">
        <v>761</v>
      </c>
      <c r="D992" s="23"/>
      <c r="E992" s="8">
        <v>4</v>
      </c>
      <c r="F992" s="8" t="s">
        <v>291</v>
      </c>
      <c r="G992" s="47">
        <v>390</v>
      </c>
      <c r="H992" s="165">
        <f>G992*E992</f>
        <v>1560</v>
      </c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56"/>
    </row>
    <row r="993" spans="1:22" x14ac:dyDescent="0.25">
      <c r="A993" s="25">
        <v>982</v>
      </c>
      <c r="B993" s="23"/>
      <c r="C993" s="43" t="s">
        <v>763</v>
      </c>
      <c r="D993" s="23"/>
      <c r="E993" s="8">
        <v>4</v>
      </c>
      <c r="F993" s="8" t="s">
        <v>291</v>
      </c>
      <c r="G993" s="47">
        <v>390</v>
      </c>
      <c r="H993" s="165">
        <f>G993*E993</f>
        <v>1560</v>
      </c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56"/>
    </row>
    <row r="994" spans="1:22" x14ac:dyDescent="0.25">
      <c r="A994" s="25">
        <v>983</v>
      </c>
      <c r="B994" s="23"/>
      <c r="C994" s="43" t="s">
        <v>764</v>
      </c>
      <c r="D994" s="23"/>
      <c r="E994" s="8">
        <v>4</v>
      </c>
      <c r="F994" s="8" t="s">
        <v>291</v>
      </c>
      <c r="G994" s="47">
        <v>390</v>
      </c>
      <c r="H994" s="165">
        <f>G994*E994</f>
        <v>1560</v>
      </c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56"/>
    </row>
    <row r="995" spans="1:22" x14ac:dyDescent="0.25">
      <c r="A995" s="25">
        <v>984</v>
      </c>
      <c r="B995" s="23"/>
      <c r="C995" s="43" t="s">
        <v>762</v>
      </c>
      <c r="D995" s="23"/>
      <c r="E995" s="8">
        <v>4</v>
      </c>
      <c r="F995" s="8" t="s">
        <v>291</v>
      </c>
      <c r="G995" s="47">
        <v>390</v>
      </c>
      <c r="H995" s="165">
        <f>G995*E995</f>
        <v>1560</v>
      </c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56"/>
    </row>
    <row r="996" spans="1:22" x14ac:dyDescent="0.25">
      <c r="A996" s="25">
        <v>985</v>
      </c>
      <c r="B996" s="23"/>
      <c r="C996" s="14"/>
      <c r="D996" s="23"/>
      <c r="E996" s="84"/>
      <c r="F996" s="23"/>
      <c r="G996" s="165"/>
      <c r="H996" s="165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56"/>
    </row>
    <row r="997" spans="1:22" ht="30" x14ac:dyDescent="0.25">
      <c r="A997" s="25">
        <v>986</v>
      </c>
      <c r="B997" s="89" t="s">
        <v>91</v>
      </c>
      <c r="C997" s="90" t="s">
        <v>102</v>
      </c>
      <c r="D997" s="89" t="s">
        <v>27</v>
      </c>
      <c r="E997" s="89"/>
      <c r="F997" s="89"/>
      <c r="G997" s="163"/>
      <c r="H997" s="167">
        <v>28080</v>
      </c>
      <c r="I997" s="89" t="s">
        <v>93</v>
      </c>
      <c r="J997" s="60">
        <v>1</v>
      </c>
      <c r="K997" s="60">
        <v>2</v>
      </c>
      <c r="L997" s="60">
        <v>2</v>
      </c>
      <c r="M997" s="60">
        <v>1</v>
      </c>
      <c r="N997" s="60"/>
      <c r="O997" s="60"/>
      <c r="P997" s="60">
        <v>2</v>
      </c>
      <c r="Q997" s="60"/>
      <c r="R997" s="60"/>
      <c r="S997" s="60">
        <v>1</v>
      </c>
      <c r="T997" s="60"/>
      <c r="U997" s="60"/>
      <c r="V997" s="56"/>
    </row>
    <row r="998" spans="1:22" x14ac:dyDescent="0.25">
      <c r="A998" s="25">
        <v>987</v>
      </c>
      <c r="B998" s="23"/>
      <c r="C998" s="1" t="s">
        <v>761</v>
      </c>
      <c r="D998" s="23"/>
      <c r="E998" s="8">
        <v>18</v>
      </c>
      <c r="F998" s="8" t="s">
        <v>291</v>
      </c>
      <c r="G998" s="49">
        <v>390</v>
      </c>
      <c r="H998" s="165">
        <f>G998*E998</f>
        <v>7020</v>
      </c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56"/>
    </row>
    <row r="999" spans="1:22" x14ac:dyDescent="0.25">
      <c r="A999" s="25">
        <v>988</v>
      </c>
      <c r="B999" s="23"/>
      <c r="C999" s="1" t="s">
        <v>762</v>
      </c>
      <c r="D999" s="23"/>
      <c r="E999" s="8">
        <v>18</v>
      </c>
      <c r="F999" s="8" t="s">
        <v>291</v>
      </c>
      <c r="G999" s="49">
        <v>390</v>
      </c>
      <c r="H999" s="165">
        <f>G999*E999</f>
        <v>7020</v>
      </c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56"/>
    </row>
    <row r="1000" spans="1:22" x14ac:dyDescent="0.25">
      <c r="A1000" s="25">
        <v>989</v>
      </c>
      <c r="B1000" s="23"/>
      <c r="C1000" s="1" t="s">
        <v>763</v>
      </c>
      <c r="D1000" s="23"/>
      <c r="E1000" s="8">
        <v>18</v>
      </c>
      <c r="F1000" s="8" t="s">
        <v>291</v>
      </c>
      <c r="G1000" s="49">
        <v>390</v>
      </c>
      <c r="H1000" s="165">
        <f>G1000*E1000</f>
        <v>7020</v>
      </c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56"/>
    </row>
    <row r="1001" spans="1:22" x14ac:dyDescent="0.25">
      <c r="A1001" s="25">
        <v>990</v>
      </c>
      <c r="B1001" s="23"/>
      <c r="C1001" s="1" t="s">
        <v>764</v>
      </c>
      <c r="D1001" s="23"/>
      <c r="E1001" s="8">
        <v>18</v>
      </c>
      <c r="F1001" s="8" t="s">
        <v>291</v>
      </c>
      <c r="G1001" s="49">
        <v>390</v>
      </c>
      <c r="H1001" s="165">
        <f>G1001*E1001</f>
        <v>7020</v>
      </c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56"/>
    </row>
    <row r="1002" spans="1:22" x14ac:dyDescent="0.25">
      <c r="A1002" s="25">
        <v>991</v>
      </c>
      <c r="B1002" s="23"/>
      <c r="C1002" s="14"/>
      <c r="D1002" s="23"/>
      <c r="E1002" s="84"/>
      <c r="F1002" s="23"/>
      <c r="G1002" s="165"/>
      <c r="H1002" s="165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56"/>
    </row>
    <row r="1003" spans="1:22" ht="30" x14ac:dyDescent="0.25">
      <c r="A1003" s="25">
        <v>992</v>
      </c>
      <c r="B1003" s="89" t="s">
        <v>91</v>
      </c>
      <c r="C1003" s="90" t="s">
        <v>38</v>
      </c>
      <c r="D1003" s="89" t="s">
        <v>27</v>
      </c>
      <c r="E1003" s="89"/>
      <c r="F1003" s="89"/>
      <c r="G1003" s="163"/>
      <c r="H1003" s="167">
        <v>14600</v>
      </c>
      <c r="I1003" s="89" t="s">
        <v>93</v>
      </c>
      <c r="J1003" s="60"/>
      <c r="K1003" s="60">
        <v>1</v>
      </c>
      <c r="L1003" s="60"/>
      <c r="M1003" s="60">
        <v>1</v>
      </c>
      <c r="N1003" s="60"/>
      <c r="O1003" s="60"/>
      <c r="P1003" s="60">
        <v>1</v>
      </c>
      <c r="Q1003" s="60"/>
      <c r="R1003" s="60"/>
      <c r="S1003" s="60">
        <v>1</v>
      </c>
      <c r="T1003" s="60"/>
      <c r="U1003" s="60"/>
      <c r="V1003" s="56"/>
    </row>
    <row r="1004" spans="1:22" x14ac:dyDescent="0.25">
      <c r="A1004" s="25">
        <v>993</v>
      </c>
      <c r="B1004" s="23"/>
      <c r="C1004" s="11" t="s">
        <v>921</v>
      </c>
      <c r="D1004" s="23"/>
      <c r="E1004" s="2">
        <v>10</v>
      </c>
      <c r="F1004" s="2" t="s">
        <v>152</v>
      </c>
      <c r="G1004" s="24">
        <v>750</v>
      </c>
      <c r="H1004" s="165">
        <f>G1004*E1004</f>
        <v>7500</v>
      </c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56"/>
    </row>
    <row r="1005" spans="1:22" x14ac:dyDescent="0.25">
      <c r="A1005" s="25">
        <v>994</v>
      </c>
      <c r="B1005" s="23"/>
      <c r="C1005" s="11" t="s">
        <v>767</v>
      </c>
      <c r="D1005" s="23"/>
      <c r="E1005" s="2">
        <v>2</v>
      </c>
      <c r="F1005" s="2" t="s">
        <v>152</v>
      </c>
      <c r="G1005" s="24">
        <v>3550</v>
      </c>
      <c r="H1005" s="165">
        <f>G1005*E1005</f>
        <v>7100</v>
      </c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56"/>
    </row>
    <row r="1006" spans="1:22" x14ac:dyDescent="0.25">
      <c r="A1006" s="25">
        <v>995</v>
      </c>
      <c r="B1006" s="23"/>
      <c r="C1006" s="14"/>
      <c r="D1006" s="23"/>
      <c r="E1006" s="84"/>
      <c r="F1006" s="23"/>
      <c r="G1006" s="165"/>
      <c r="H1006" s="165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56"/>
    </row>
    <row r="1007" spans="1:22" ht="30" x14ac:dyDescent="0.25">
      <c r="A1007" s="25">
        <v>996</v>
      </c>
      <c r="B1007" s="89" t="s">
        <v>91</v>
      </c>
      <c r="C1007" s="90" t="s">
        <v>110</v>
      </c>
      <c r="D1007" s="89" t="s">
        <v>27</v>
      </c>
      <c r="E1007" s="89"/>
      <c r="F1007" s="89"/>
      <c r="G1007" s="163"/>
      <c r="H1007" s="167">
        <v>34320</v>
      </c>
      <c r="I1007" s="89" t="s">
        <v>93</v>
      </c>
      <c r="J1007" s="60">
        <v>2</v>
      </c>
      <c r="K1007" s="60">
        <v>2</v>
      </c>
      <c r="L1007" s="60">
        <v>2</v>
      </c>
      <c r="M1007" s="60">
        <v>2</v>
      </c>
      <c r="N1007" s="60">
        <v>2</v>
      </c>
      <c r="O1007" s="60">
        <v>2</v>
      </c>
      <c r="P1007" s="60">
        <v>2</v>
      </c>
      <c r="Q1007" s="60">
        <v>2</v>
      </c>
      <c r="R1007" s="60">
        <v>2</v>
      </c>
      <c r="S1007" s="60">
        <v>2</v>
      </c>
      <c r="T1007" s="60">
        <v>2</v>
      </c>
      <c r="U1007" s="60">
        <v>2</v>
      </c>
      <c r="V1007" s="56"/>
    </row>
    <row r="1008" spans="1:22" x14ac:dyDescent="0.25">
      <c r="A1008" s="25">
        <v>997</v>
      </c>
      <c r="B1008" s="23"/>
      <c r="C1008" s="1" t="s">
        <v>761</v>
      </c>
      <c r="D1008" s="23"/>
      <c r="E1008" s="8">
        <v>22</v>
      </c>
      <c r="F1008" s="8" t="s">
        <v>152</v>
      </c>
      <c r="G1008" s="49">
        <v>390</v>
      </c>
      <c r="H1008" s="165">
        <f>G1008*E1008</f>
        <v>8580</v>
      </c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56"/>
    </row>
    <row r="1009" spans="1:22" x14ac:dyDescent="0.25">
      <c r="A1009" s="25">
        <v>998</v>
      </c>
      <c r="B1009" s="23"/>
      <c r="C1009" s="1" t="s">
        <v>762</v>
      </c>
      <c r="D1009" s="23"/>
      <c r="E1009" s="8">
        <v>22</v>
      </c>
      <c r="F1009" s="8" t="s">
        <v>152</v>
      </c>
      <c r="G1009" s="49">
        <v>390</v>
      </c>
      <c r="H1009" s="165">
        <f>G1009*E1009</f>
        <v>8580</v>
      </c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56"/>
    </row>
    <row r="1010" spans="1:22" x14ac:dyDescent="0.25">
      <c r="A1010" s="25">
        <v>999</v>
      </c>
      <c r="B1010" s="23"/>
      <c r="C1010" s="1" t="s">
        <v>763</v>
      </c>
      <c r="D1010" s="23"/>
      <c r="E1010" s="8">
        <v>22</v>
      </c>
      <c r="F1010" s="8" t="s">
        <v>152</v>
      </c>
      <c r="G1010" s="49">
        <v>390</v>
      </c>
      <c r="H1010" s="165">
        <f>G1010*E1010</f>
        <v>8580</v>
      </c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56"/>
    </row>
    <row r="1011" spans="1:22" x14ac:dyDescent="0.25">
      <c r="A1011" s="25">
        <v>1000</v>
      </c>
      <c r="B1011" s="23"/>
      <c r="C1011" s="1" t="s">
        <v>764</v>
      </c>
      <c r="D1011" s="23"/>
      <c r="E1011" s="8">
        <v>22</v>
      </c>
      <c r="F1011" s="8" t="s">
        <v>152</v>
      </c>
      <c r="G1011" s="49">
        <v>390</v>
      </c>
      <c r="H1011" s="165">
        <f>G1011*E1011</f>
        <v>8580</v>
      </c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56"/>
    </row>
    <row r="1012" spans="1:22" x14ac:dyDescent="0.25">
      <c r="A1012" s="25">
        <v>1001</v>
      </c>
      <c r="B1012" s="23"/>
      <c r="C1012" s="1"/>
      <c r="D1012" s="23"/>
      <c r="E1012" s="8"/>
      <c r="F1012" s="8"/>
      <c r="G1012" s="49"/>
      <c r="H1012" s="165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56"/>
    </row>
    <row r="1013" spans="1:22" ht="30" x14ac:dyDescent="0.25">
      <c r="A1013" s="25">
        <v>1002</v>
      </c>
      <c r="B1013" s="90" t="s">
        <v>91</v>
      </c>
      <c r="C1013" s="90" t="s">
        <v>114</v>
      </c>
      <c r="D1013" s="89" t="s">
        <v>27</v>
      </c>
      <c r="E1013" s="90"/>
      <c r="F1013" s="90"/>
      <c r="G1013" s="163"/>
      <c r="H1013" s="167">
        <v>38640</v>
      </c>
      <c r="I1013" s="89" t="s">
        <v>93</v>
      </c>
      <c r="J1013" s="60">
        <v>1</v>
      </c>
      <c r="K1013" s="60"/>
      <c r="L1013" s="60"/>
      <c r="M1013" s="60"/>
      <c r="N1013" s="60"/>
      <c r="O1013" s="60"/>
      <c r="P1013" s="60">
        <v>1</v>
      </c>
      <c r="Q1013" s="60">
        <v>1</v>
      </c>
      <c r="R1013" s="60"/>
      <c r="S1013" s="60"/>
      <c r="T1013" s="60">
        <v>1</v>
      </c>
      <c r="U1013" s="60"/>
      <c r="V1013" s="56"/>
    </row>
    <row r="1014" spans="1:22" x14ac:dyDescent="0.25">
      <c r="A1014" s="25">
        <v>1003</v>
      </c>
      <c r="B1014" s="14"/>
      <c r="C1014" s="14" t="s">
        <v>56</v>
      </c>
      <c r="D1014" s="14"/>
      <c r="E1014" s="124"/>
      <c r="F1014" s="14"/>
      <c r="G1014" s="165"/>
      <c r="H1014" s="165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56"/>
    </row>
    <row r="1015" spans="1:22" x14ac:dyDescent="0.25">
      <c r="A1015" s="25">
        <v>1004</v>
      </c>
      <c r="B1015" s="23"/>
      <c r="C1015" s="11" t="s">
        <v>1385</v>
      </c>
      <c r="D1015" s="23"/>
      <c r="E1015" s="2">
        <f>15*2</f>
        <v>30</v>
      </c>
      <c r="F1015" s="2" t="s">
        <v>152</v>
      </c>
      <c r="G1015" s="12">
        <v>650</v>
      </c>
      <c r="H1015" s="165">
        <f>G1015*E1015</f>
        <v>19500</v>
      </c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56"/>
    </row>
    <row r="1016" spans="1:22" x14ac:dyDescent="0.25">
      <c r="A1016" s="25">
        <v>1005</v>
      </c>
      <c r="B1016" s="23"/>
      <c r="C1016" s="11" t="s">
        <v>1430</v>
      </c>
      <c r="D1016" s="23"/>
      <c r="E1016" s="2">
        <v>2</v>
      </c>
      <c r="F1016" s="2" t="s">
        <v>152</v>
      </c>
      <c r="G1016" s="13">
        <v>1790</v>
      </c>
      <c r="H1016" s="165">
        <f t="shared" ref="H1016:H1020" si="62">G1016*E1016</f>
        <v>3580</v>
      </c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56"/>
    </row>
    <row r="1017" spans="1:22" x14ac:dyDescent="0.25">
      <c r="A1017" s="25">
        <v>1006</v>
      </c>
      <c r="B1017" s="23"/>
      <c r="C1017" s="11" t="s">
        <v>1431</v>
      </c>
      <c r="D1017" s="23"/>
      <c r="E1017" s="2">
        <f>5*2</f>
        <v>10</v>
      </c>
      <c r="F1017" s="2" t="s">
        <v>1002</v>
      </c>
      <c r="G1017" s="12">
        <v>389</v>
      </c>
      <c r="H1017" s="165">
        <f t="shared" si="62"/>
        <v>3890</v>
      </c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56"/>
    </row>
    <row r="1018" spans="1:22" x14ac:dyDescent="0.25">
      <c r="A1018" s="25">
        <v>1007</v>
      </c>
      <c r="B1018" s="23"/>
      <c r="C1018" s="11" t="s">
        <v>1432</v>
      </c>
      <c r="D1018" s="23"/>
      <c r="E1018" s="2">
        <f t="shared" ref="E1018:E1020" si="63">5*2</f>
        <v>10</v>
      </c>
      <c r="F1018" s="2" t="s">
        <v>1002</v>
      </c>
      <c r="G1018" s="12">
        <v>389</v>
      </c>
      <c r="H1018" s="165">
        <f t="shared" si="62"/>
        <v>3890</v>
      </c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56"/>
    </row>
    <row r="1019" spans="1:22" x14ac:dyDescent="0.25">
      <c r="A1019" s="25">
        <v>1008</v>
      </c>
      <c r="B1019" s="23"/>
      <c r="C1019" s="11" t="s">
        <v>1433</v>
      </c>
      <c r="D1019" s="23"/>
      <c r="E1019" s="2">
        <f t="shared" si="63"/>
        <v>10</v>
      </c>
      <c r="F1019" s="2" t="s">
        <v>1002</v>
      </c>
      <c r="G1019" s="12">
        <v>389</v>
      </c>
      <c r="H1019" s="165">
        <f t="shared" si="62"/>
        <v>3890</v>
      </c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56"/>
    </row>
    <row r="1020" spans="1:22" x14ac:dyDescent="0.25">
      <c r="A1020" s="25">
        <v>1009</v>
      </c>
      <c r="B1020" s="23"/>
      <c r="C1020" s="11" t="s">
        <v>1434</v>
      </c>
      <c r="D1020" s="23"/>
      <c r="E1020" s="2">
        <f t="shared" si="63"/>
        <v>10</v>
      </c>
      <c r="F1020" s="2" t="s">
        <v>1002</v>
      </c>
      <c r="G1020" s="12">
        <v>389</v>
      </c>
      <c r="H1020" s="165">
        <f t="shared" si="62"/>
        <v>3890</v>
      </c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56"/>
    </row>
    <row r="1021" spans="1:22" x14ac:dyDescent="0.25">
      <c r="A1021" s="25">
        <v>1010</v>
      </c>
      <c r="B1021" s="23"/>
      <c r="C1021" s="14"/>
      <c r="D1021" s="23"/>
      <c r="E1021" s="84"/>
      <c r="F1021" s="23"/>
      <c r="G1021" s="165"/>
      <c r="H1021" s="165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56"/>
    </row>
    <row r="1022" spans="1:22" ht="30" x14ac:dyDescent="0.25">
      <c r="A1022" s="25">
        <v>1011</v>
      </c>
      <c r="B1022" s="86" t="s">
        <v>111</v>
      </c>
      <c r="C1022" s="87" t="s">
        <v>112</v>
      </c>
      <c r="D1022" s="86" t="s">
        <v>26</v>
      </c>
      <c r="E1022" s="86"/>
      <c r="F1022" s="86"/>
      <c r="G1022" s="161"/>
      <c r="H1022" s="162">
        <f>H1023+H1038+H1067+H1077+H1086+H1103+H1118+H1133+H1142+H1151+H1188+H1205+H1241+H1250+H1262+H1278+H1300+H1320+H1348+H1365+H1370+H1380+H1400+H1429+H1449+H1469+H1486+H1492+H1511+H1526+H1543</f>
        <v>13386384.890000001</v>
      </c>
      <c r="I1022" s="86" t="s">
        <v>93</v>
      </c>
      <c r="J1022" s="88">
        <v>21</v>
      </c>
      <c r="K1022" s="88">
        <v>22</v>
      </c>
      <c r="L1022" s="88">
        <v>17</v>
      </c>
      <c r="M1022" s="88">
        <v>37</v>
      </c>
      <c r="N1022" s="88">
        <v>17</v>
      </c>
      <c r="O1022" s="88">
        <v>17</v>
      </c>
      <c r="P1022" s="88">
        <v>35</v>
      </c>
      <c r="Q1022" s="88">
        <v>17</v>
      </c>
      <c r="R1022" s="88">
        <v>14</v>
      </c>
      <c r="S1022" s="88">
        <v>28</v>
      </c>
      <c r="T1022" s="88">
        <v>17</v>
      </c>
      <c r="U1022" s="88">
        <v>14</v>
      </c>
      <c r="V1022" s="56"/>
    </row>
    <row r="1023" spans="1:22" ht="22.5" customHeight="1" x14ac:dyDescent="0.25">
      <c r="A1023" s="25">
        <v>1012</v>
      </c>
      <c r="B1023" s="89" t="s">
        <v>111</v>
      </c>
      <c r="C1023" s="90" t="s">
        <v>116</v>
      </c>
      <c r="D1023" s="89" t="s">
        <v>27</v>
      </c>
      <c r="E1023" s="89"/>
      <c r="F1023" s="89"/>
      <c r="G1023" s="163"/>
      <c r="H1023" s="167">
        <v>60000</v>
      </c>
      <c r="I1023" s="89" t="s">
        <v>93</v>
      </c>
      <c r="J1023" s="60">
        <v>2</v>
      </c>
      <c r="K1023" s="60">
        <v>2</v>
      </c>
      <c r="L1023" s="60">
        <v>2</v>
      </c>
      <c r="M1023" s="60">
        <v>2</v>
      </c>
      <c r="N1023" s="60">
        <v>2</v>
      </c>
      <c r="O1023" s="60">
        <v>2</v>
      </c>
      <c r="P1023" s="60">
        <v>2</v>
      </c>
      <c r="Q1023" s="60">
        <v>1</v>
      </c>
      <c r="R1023" s="60">
        <v>2</v>
      </c>
      <c r="S1023" s="60">
        <v>2</v>
      </c>
      <c r="T1023" s="60">
        <v>2</v>
      </c>
      <c r="U1023" s="60">
        <v>2</v>
      </c>
      <c r="V1023" s="56"/>
    </row>
    <row r="1024" spans="1:22" ht="15" x14ac:dyDescent="0.25">
      <c r="A1024" s="25">
        <v>1013</v>
      </c>
      <c r="B1024" s="23"/>
      <c r="C1024" s="125" t="s">
        <v>786</v>
      </c>
      <c r="D1024" s="23"/>
      <c r="E1024" s="126">
        <f>3*4</f>
        <v>12</v>
      </c>
      <c r="F1024" s="23" t="s">
        <v>567</v>
      </c>
      <c r="G1024" s="182">
        <v>1250</v>
      </c>
      <c r="H1024" s="165">
        <f>G1024*E1024</f>
        <v>15000</v>
      </c>
      <c r="I1024" s="8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56"/>
    </row>
    <row r="1025" spans="1:22" x14ac:dyDescent="0.25">
      <c r="A1025" s="25">
        <v>1014</v>
      </c>
      <c r="B1025" s="23"/>
      <c r="C1025" s="125" t="s">
        <v>383</v>
      </c>
      <c r="D1025" s="23"/>
      <c r="E1025" s="126">
        <f>5*4</f>
        <v>20</v>
      </c>
      <c r="F1025" s="23" t="s">
        <v>567</v>
      </c>
      <c r="G1025" s="182">
        <v>150</v>
      </c>
      <c r="H1025" s="165">
        <f t="shared" ref="H1025:H1036" si="64">G1025*E1025</f>
        <v>3000</v>
      </c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56"/>
    </row>
    <row r="1026" spans="1:22" x14ac:dyDescent="0.25">
      <c r="A1026" s="25">
        <v>1015</v>
      </c>
      <c r="B1026" s="23"/>
      <c r="C1026" s="125" t="s">
        <v>922</v>
      </c>
      <c r="D1026" s="23"/>
      <c r="E1026" s="126">
        <f>4*4</f>
        <v>16</v>
      </c>
      <c r="F1026" s="23" t="s">
        <v>567</v>
      </c>
      <c r="G1026" s="182">
        <v>320</v>
      </c>
      <c r="H1026" s="165">
        <f t="shared" si="64"/>
        <v>5120</v>
      </c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56"/>
    </row>
    <row r="1027" spans="1:22" x14ac:dyDescent="0.25">
      <c r="A1027" s="25">
        <v>1016</v>
      </c>
      <c r="B1027" s="23"/>
      <c r="C1027" s="125" t="s">
        <v>774</v>
      </c>
      <c r="D1027" s="23"/>
      <c r="E1027" s="126">
        <f>4*4</f>
        <v>16</v>
      </c>
      <c r="F1027" s="23" t="s">
        <v>567</v>
      </c>
      <c r="G1027" s="182">
        <v>320</v>
      </c>
      <c r="H1027" s="165">
        <f t="shared" si="64"/>
        <v>5120</v>
      </c>
      <c r="I1027" s="71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56"/>
    </row>
    <row r="1028" spans="1:22" x14ac:dyDescent="0.25">
      <c r="A1028" s="25">
        <v>1017</v>
      </c>
      <c r="B1028" s="23"/>
      <c r="C1028" s="125" t="s">
        <v>787</v>
      </c>
      <c r="D1028" s="23"/>
      <c r="E1028" s="126">
        <f>3*4</f>
        <v>12</v>
      </c>
      <c r="F1028" s="23" t="s">
        <v>567</v>
      </c>
      <c r="G1028" s="182">
        <v>75</v>
      </c>
      <c r="H1028" s="165">
        <f t="shared" si="64"/>
        <v>900</v>
      </c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56"/>
    </row>
    <row r="1029" spans="1:22" x14ac:dyDescent="0.25">
      <c r="A1029" s="25">
        <v>1018</v>
      </c>
      <c r="B1029" s="23"/>
      <c r="C1029" s="125" t="s">
        <v>756</v>
      </c>
      <c r="D1029" s="23"/>
      <c r="E1029" s="126">
        <f>3*4</f>
        <v>12</v>
      </c>
      <c r="F1029" s="23" t="s">
        <v>567</v>
      </c>
      <c r="G1029" s="182">
        <v>115</v>
      </c>
      <c r="H1029" s="165">
        <f t="shared" si="64"/>
        <v>1380</v>
      </c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56"/>
    </row>
    <row r="1030" spans="1:22" x14ac:dyDescent="0.25">
      <c r="A1030" s="25">
        <v>1019</v>
      </c>
      <c r="B1030" s="23"/>
      <c r="C1030" s="125" t="s">
        <v>776</v>
      </c>
      <c r="D1030" s="23"/>
      <c r="E1030" s="126">
        <f>3*4</f>
        <v>12</v>
      </c>
      <c r="F1030" s="23" t="s">
        <v>567</v>
      </c>
      <c r="G1030" s="182">
        <v>315</v>
      </c>
      <c r="H1030" s="165">
        <f t="shared" si="64"/>
        <v>3780</v>
      </c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56"/>
    </row>
    <row r="1031" spans="1:22" x14ac:dyDescent="0.25">
      <c r="A1031" s="25">
        <v>1020</v>
      </c>
      <c r="B1031" s="23"/>
      <c r="C1031" s="125" t="s">
        <v>789</v>
      </c>
      <c r="D1031" s="23"/>
      <c r="E1031" s="126">
        <f>3*4</f>
        <v>12</v>
      </c>
      <c r="F1031" s="126" t="s">
        <v>152</v>
      </c>
      <c r="G1031" s="182">
        <v>100</v>
      </c>
      <c r="H1031" s="165">
        <f t="shared" si="64"/>
        <v>1200</v>
      </c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56"/>
    </row>
    <row r="1032" spans="1:22" x14ac:dyDescent="0.25">
      <c r="A1032" s="25">
        <v>1021</v>
      </c>
      <c r="B1032" s="23"/>
      <c r="C1032" s="125" t="s">
        <v>1085</v>
      </c>
      <c r="D1032" s="23"/>
      <c r="E1032" s="126">
        <f>3*4</f>
        <v>12</v>
      </c>
      <c r="F1032" s="126" t="s">
        <v>152</v>
      </c>
      <c r="G1032" s="182">
        <v>185</v>
      </c>
      <c r="H1032" s="165">
        <f t="shared" si="64"/>
        <v>2220</v>
      </c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56"/>
    </row>
    <row r="1033" spans="1:22" x14ac:dyDescent="0.25">
      <c r="A1033" s="25">
        <v>1022</v>
      </c>
      <c r="B1033" s="23"/>
      <c r="C1033" s="125" t="s">
        <v>988</v>
      </c>
      <c r="D1033" s="23"/>
      <c r="E1033" s="126">
        <f>5*4</f>
        <v>20</v>
      </c>
      <c r="F1033" s="23" t="s">
        <v>567</v>
      </c>
      <c r="G1033" s="182">
        <v>125</v>
      </c>
      <c r="H1033" s="165">
        <f t="shared" si="64"/>
        <v>2500</v>
      </c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56"/>
    </row>
    <row r="1034" spans="1:22" x14ac:dyDescent="0.25">
      <c r="A1034" s="25">
        <v>1023</v>
      </c>
      <c r="B1034" s="23"/>
      <c r="C1034" s="125" t="s">
        <v>791</v>
      </c>
      <c r="D1034" s="23"/>
      <c r="E1034" s="126">
        <f>5*4</f>
        <v>20</v>
      </c>
      <c r="F1034" s="23" t="s">
        <v>567</v>
      </c>
      <c r="G1034" s="182">
        <v>375</v>
      </c>
      <c r="H1034" s="165">
        <f t="shared" si="64"/>
        <v>7500</v>
      </c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56"/>
    </row>
    <row r="1035" spans="1:22" x14ac:dyDescent="0.25">
      <c r="A1035" s="25">
        <v>1024</v>
      </c>
      <c r="B1035" s="23"/>
      <c r="C1035" s="125" t="s">
        <v>793</v>
      </c>
      <c r="D1035" s="23"/>
      <c r="E1035" s="126">
        <f>2*4</f>
        <v>8</v>
      </c>
      <c r="F1035" s="126" t="s">
        <v>152</v>
      </c>
      <c r="G1035" s="182">
        <v>135</v>
      </c>
      <c r="H1035" s="165">
        <f t="shared" si="64"/>
        <v>1080</v>
      </c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56"/>
    </row>
    <row r="1036" spans="1:22" x14ac:dyDescent="0.25">
      <c r="A1036" s="25">
        <v>1025</v>
      </c>
      <c r="B1036" s="23"/>
      <c r="C1036" s="125" t="s">
        <v>794</v>
      </c>
      <c r="D1036" s="23"/>
      <c r="E1036" s="126">
        <f>5*4</f>
        <v>20</v>
      </c>
      <c r="F1036" s="23" t="s">
        <v>567</v>
      </c>
      <c r="G1036" s="182">
        <v>560</v>
      </c>
      <c r="H1036" s="165">
        <f t="shared" si="64"/>
        <v>11200</v>
      </c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56"/>
    </row>
    <row r="1037" spans="1:22" x14ac:dyDescent="0.25">
      <c r="A1037" s="25">
        <v>1026</v>
      </c>
      <c r="B1037" s="23"/>
      <c r="C1037" s="14"/>
      <c r="D1037" s="23"/>
      <c r="E1037" s="84"/>
      <c r="F1037" s="23"/>
      <c r="G1037" s="165"/>
      <c r="H1037" s="165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56"/>
    </row>
    <row r="1038" spans="1:22" ht="30" x14ac:dyDescent="0.25">
      <c r="A1038" s="25">
        <v>1027</v>
      </c>
      <c r="B1038" s="89" t="s">
        <v>111</v>
      </c>
      <c r="C1038" s="90" t="s">
        <v>35</v>
      </c>
      <c r="D1038" s="89" t="s">
        <v>27</v>
      </c>
      <c r="E1038" s="89"/>
      <c r="F1038" s="89"/>
      <c r="G1038" s="163"/>
      <c r="H1038" s="167">
        <v>7144659</v>
      </c>
      <c r="I1038" s="89" t="s">
        <v>93</v>
      </c>
      <c r="J1038" s="60"/>
      <c r="K1038" s="60"/>
      <c r="L1038" s="60"/>
      <c r="M1038" s="60">
        <v>3</v>
      </c>
      <c r="N1038" s="60"/>
      <c r="O1038" s="60">
        <v>1</v>
      </c>
      <c r="P1038" s="60">
        <v>3</v>
      </c>
      <c r="Q1038" s="60">
        <v>1</v>
      </c>
      <c r="R1038" s="60"/>
      <c r="S1038" s="60">
        <v>3</v>
      </c>
      <c r="T1038" s="60">
        <v>1</v>
      </c>
      <c r="U1038" s="60">
        <v>1</v>
      </c>
      <c r="V1038" s="56"/>
    </row>
    <row r="1039" spans="1:22" x14ac:dyDescent="0.25">
      <c r="A1039" s="25">
        <v>1028</v>
      </c>
      <c r="B1039" s="23"/>
      <c r="C1039" s="1" t="s">
        <v>797</v>
      </c>
      <c r="D1039" s="23"/>
      <c r="E1039" s="8">
        <f>1*4059</f>
        <v>4059</v>
      </c>
      <c r="F1039" s="8" t="s">
        <v>152</v>
      </c>
      <c r="G1039" s="181">
        <v>8</v>
      </c>
      <c r="H1039" s="165">
        <f>G1039*E1039</f>
        <v>32472</v>
      </c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56"/>
    </row>
    <row r="1040" spans="1:22" x14ac:dyDescent="0.25">
      <c r="A1040" s="25">
        <v>1029</v>
      </c>
      <c r="B1040" s="23"/>
      <c r="C1040" s="1" t="s">
        <v>798</v>
      </c>
      <c r="D1040" s="23"/>
      <c r="E1040" s="8">
        <f t="shared" ref="E1040:E1050" si="65">1*4059</f>
        <v>4059</v>
      </c>
      <c r="F1040" s="8" t="s">
        <v>152</v>
      </c>
      <c r="G1040" s="181">
        <v>3</v>
      </c>
      <c r="H1040" s="165">
        <f t="shared" ref="H1040:H1065" si="66">G1040*E1040</f>
        <v>12177</v>
      </c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56"/>
    </row>
    <row r="1041" spans="1:22" x14ac:dyDescent="0.25">
      <c r="A1041" s="25">
        <v>1030</v>
      </c>
      <c r="B1041" s="23"/>
      <c r="C1041" s="1" t="s">
        <v>799</v>
      </c>
      <c r="D1041" s="23"/>
      <c r="E1041" s="8">
        <f t="shared" si="65"/>
        <v>4059</v>
      </c>
      <c r="F1041" s="8" t="s">
        <v>152</v>
      </c>
      <c r="G1041" s="181">
        <v>2</v>
      </c>
      <c r="H1041" s="165">
        <f t="shared" si="66"/>
        <v>8118</v>
      </c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56"/>
    </row>
    <row r="1042" spans="1:22" x14ac:dyDescent="0.25">
      <c r="A1042" s="25">
        <v>1031</v>
      </c>
      <c r="B1042" s="23"/>
      <c r="C1042" s="1" t="s">
        <v>800</v>
      </c>
      <c r="D1042" s="23"/>
      <c r="E1042" s="8">
        <f t="shared" si="65"/>
        <v>4059</v>
      </c>
      <c r="F1042" s="8" t="s">
        <v>152</v>
      </c>
      <c r="G1042" s="181">
        <v>13</v>
      </c>
      <c r="H1042" s="165">
        <f t="shared" si="66"/>
        <v>52767</v>
      </c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56"/>
    </row>
    <row r="1043" spans="1:22" x14ac:dyDescent="0.25">
      <c r="A1043" s="25">
        <v>1032</v>
      </c>
      <c r="B1043" s="23"/>
      <c r="C1043" s="1" t="s">
        <v>801</v>
      </c>
      <c r="D1043" s="23"/>
      <c r="E1043" s="8">
        <f t="shared" si="65"/>
        <v>4059</v>
      </c>
      <c r="F1043" s="8" t="s">
        <v>152</v>
      </c>
      <c r="G1043" s="181">
        <v>8</v>
      </c>
      <c r="H1043" s="165">
        <f t="shared" si="66"/>
        <v>32472</v>
      </c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56"/>
    </row>
    <row r="1044" spans="1:22" x14ac:dyDescent="0.25">
      <c r="A1044" s="25">
        <v>1033</v>
      </c>
      <c r="B1044" s="23"/>
      <c r="C1044" s="39" t="s">
        <v>802</v>
      </c>
      <c r="D1044" s="23"/>
      <c r="E1044" s="8">
        <f t="shared" si="65"/>
        <v>4059</v>
      </c>
      <c r="F1044" s="36" t="s">
        <v>128</v>
      </c>
      <c r="G1044" s="183">
        <v>140</v>
      </c>
      <c r="H1044" s="165">
        <f t="shared" si="66"/>
        <v>568260</v>
      </c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56"/>
    </row>
    <row r="1045" spans="1:22" x14ac:dyDescent="0.25">
      <c r="A1045" s="25">
        <v>1034</v>
      </c>
      <c r="B1045" s="23"/>
      <c r="C1045" s="11" t="s">
        <v>786</v>
      </c>
      <c r="D1045" s="23"/>
      <c r="E1045" s="2">
        <f>2*4059</f>
        <v>8118</v>
      </c>
      <c r="F1045" s="2" t="s">
        <v>152</v>
      </c>
      <c r="G1045" s="165">
        <v>4</v>
      </c>
      <c r="H1045" s="165">
        <f t="shared" si="66"/>
        <v>32472</v>
      </c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56"/>
    </row>
    <row r="1046" spans="1:22" x14ac:dyDescent="0.25">
      <c r="A1046" s="25">
        <v>1035</v>
      </c>
      <c r="B1046" s="23"/>
      <c r="C1046" s="11" t="s">
        <v>383</v>
      </c>
      <c r="D1046" s="23"/>
      <c r="E1046" s="8">
        <f t="shared" si="65"/>
        <v>4059</v>
      </c>
      <c r="F1046" s="2" t="s">
        <v>152</v>
      </c>
      <c r="G1046" s="165">
        <v>13</v>
      </c>
      <c r="H1046" s="165">
        <f t="shared" si="66"/>
        <v>52767</v>
      </c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56"/>
    </row>
    <row r="1047" spans="1:22" x14ac:dyDescent="0.25">
      <c r="A1047" s="25">
        <v>1036</v>
      </c>
      <c r="B1047" s="23"/>
      <c r="C1047" s="11" t="s">
        <v>490</v>
      </c>
      <c r="D1047" s="23"/>
      <c r="E1047" s="8">
        <f t="shared" si="65"/>
        <v>4059</v>
      </c>
      <c r="F1047" s="2" t="s">
        <v>152</v>
      </c>
      <c r="G1047" s="165">
        <v>11</v>
      </c>
      <c r="H1047" s="165">
        <f t="shared" si="66"/>
        <v>44649</v>
      </c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56"/>
    </row>
    <row r="1048" spans="1:22" x14ac:dyDescent="0.25">
      <c r="A1048" s="25">
        <v>1037</v>
      </c>
      <c r="B1048" s="23"/>
      <c r="C1048" s="11" t="s">
        <v>491</v>
      </c>
      <c r="D1048" s="23"/>
      <c r="E1048" s="8">
        <f t="shared" si="65"/>
        <v>4059</v>
      </c>
      <c r="F1048" s="2" t="s">
        <v>152</v>
      </c>
      <c r="G1048" s="165">
        <v>10</v>
      </c>
      <c r="H1048" s="165">
        <f t="shared" si="66"/>
        <v>40590</v>
      </c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56"/>
    </row>
    <row r="1049" spans="1:22" x14ac:dyDescent="0.25">
      <c r="A1049" s="25">
        <v>1038</v>
      </c>
      <c r="B1049" s="23"/>
      <c r="C1049" s="11" t="s">
        <v>796</v>
      </c>
      <c r="D1049" s="23"/>
      <c r="E1049" s="8">
        <f t="shared" si="65"/>
        <v>4059</v>
      </c>
      <c r="F1049" s="2" t="s">
        <v>152</v>
      </c>
      <c r="G1049" s="165">
        <v>130</v>
      </c>
      <c r="H1049" s="165">
        <f t="shared" si="66"/>
        <v>527670</v>
      </c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56"/>
    </row>
    <row r="1050" spans="1:22" x14ac:dyDescent="0.25">
      <c r="A1050" s="25">
        <v>1039</v>
      </c>
      <c r="B1050" s="23"/>
      <c r="C1050" s="93" t="s">
        <v>410</v>
      </c>
      <c r="D1050" s="23"/>
      <c r="E1050" s="8">
        <f t="shared" si="65"/>
        <v>4059</v>
      </c>
      <c r="F1050" s="2" t="s">
        <v>152</v>
      </c>
      <c r="G1050" s="116">
        <v>14</v>
      </c>
      <c r="H1050" s="165">
        <f t="shared" si="66"/>
        <v>56826</v>
      </c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56"/>
    </row>
    <row r="1051" spans="1:22" x14ac:dyDescent="0.25">
      <c r="A1051" s="25">
        <v>1040</v>
      </c>
      <c r="B1051" s="23"/>
      <c r="C1051" s="93" t="s">
        <v>278</v>
      </c>
      <c r="D1051" s="23"/>
      <c r="E1051" s="23">
        <f>2*4059</f>
        <v>8118</v>
      </c>
      <c r="F1051" s="2" t="s">
        <v>152</v>
      </c>
      <c r="G1051" s="116">
        <v>30</v>
      </c>
      <c r="H1051" s="165">
        <f t="shared" si="66"/>
        <v>243540</v>
      </c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56"/>
    </row>
    <row r="1052" spans="1:22" x14ac:dyDescent="0.25">
      <c r="A1052" s="25">
        <v>1041</v>
      </c>
      <c r="B1052" s="23"/>
      <c r="C1052" s="93" t="s">
        <v>383</v>
      </c>
      <c r="D1052" s="23"/>
      <c r="E1052" s="23">
        <f>3*4059</f>
        <v>12177</v>
      </c>
      <c r="F1052" s="2" t="s">
        <v>152</v>
      </c>
      <c r="G1052" s="116">
        <v>75</v>
      </c>
      <c r="H1052" s="165">
        <f t="shared" si="66"/>
        <v>913275</v>
      </c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56"/>
    </row>
    <row r="1053" spans="1:22" x14ac:dyDescent="0.25">
      <c r="A1053" s="25">
        <v>1042</v>
      </c>
      <c r="B1053" s="23"/>
      <c r="C1053" s="93" t="s">
        <v>411</v>
      </c>
      <c r="D1053" s="23"/>
      <c r="E1053" s="8">
        <f t="shared" ref="E1053:E1054" si="67">1*4059</f>
        <v>4059</v>
      </c>
      <c r="F1053" s="2" t="s">
        <v>152</v>
      </c>
      <c r="G1053" s="116">
        <v>25</v>
      </c>
      <c r="H1053" s="165">
        <f t="shared" si="66"/>
        <v>101475</v>
      </c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56"/>
    </row>
    <row r="1054" spans="1:22" x14ac:dyDescent="0.25">
      <c r="A1054" s="25">
        <v>1043</v>
      </c>
      <c r="B1054" s="23"/>
      <c r="C1054" s="93" t="s">
        <v>412</v>
      </c>
      <c r="D1054" s="23"/>
      <c r="E1054" s="8">
        <f t="shared" si="67"/>
        <v>4059</v>
      </c>
      <c r="F1054" s="2" t="s">
        <v>152</v>
      </c>
      <c r="G1054" s="116">
        <v>12</v>
      </c>
      <c r="H1054" s="165">
        <f t="shared" si="66"/>
        <v>48708</v>
      </c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56"/>
    </row>
    <row r="1055" spans="1:22" x14ac:dyDescent="0.25">
      <c r="A1055" s="25">
        <v>1044</v>
      </c>
      <c r="B1055" s="23"/>
      <c r="C1055" s="93" t="s">
        <v>375</v>
      </c>
      <c r="D1055" s="23"/>
      <c r="E1055" s="23">
        <f>12*4059</f>
        <v>48708</v>
      </c>
      <c r="F1055" s="23" t="s">
        <v>152</v>
      </c>
      <c r="G1055" s="116">
        <v>12</v>
      </c>
      <c r="H1055" s="165">
        <f t="shared" si="66"/>
        <v>584496</v>
      </c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56"/>
    </row>
    <row r="1056" spans="1:22" x14ac:dyDescent="0.25">
      <c r="A1056" s="25">
        <v>1045</v>
      </c>
      <c r="B1056" s="23"/>
      <c r="C1056" s="93" t="s">
        <v>413</v>
      </c>
      <c r="D1056" s="23"/>
      <c r="E1056" s="23">
        <f>5*4059</f>
        <v>20295</v>
      </c>
      <c r="F1056" s="23" t="s">
        <v>152</v>
      </c>
      <c r="G1056" s="116">
        <v>40</v>
      </c>
      <c r="H1056" s="165">
        <f t="shared" si="66"/>
        <v>811800</v>
      </c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56"/>
    </row>
    <row r="1057" spans="1:22" x14ac:dyDescent="0.25">
      <c r="A1057" s="25">
        <v>1046</v>
      </c>
      <c r="B1057" s="23"/>
      <c r="C1057" s="93" t="s">
        <v>414</v>
      </c>
      <c r="D1057" s="23"/>
      <c r="E1057" s="23">
        <f t="shared" ref="E1057:E1058" si="68">5*4059</f>
        <v>20295</v>
      </c>
      <c r="F1057" s="23" t="s">
        <v>152</v>
      </c>
      <c r="G1057" s="116">
        <v>40</v>
      </c>
      <c r="H1057" s="165">
        <f t="shared" si="66"/>
        <v>811800</v>
      </c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56"/>
    </row>
    <row r="1058" spans="1:22" x14ac:dyDescent="0.25">
      <c r="A1058" s="25">
        <v>1047</v>
      </c>
      <c r="B1058" s="23"/>
      <c r="C1058" s="93" t="s">
        <v>415</v>
      </c>
      <c r="D1058" s="23"/>
      <c r="E1058" s="23">
        <f t="shared" si="68"/>
        <v>20295</v>
      </c>
      <c r="F1058" s="23" t="s">
        <v>152</v>
      </c>
      <c r="G1058" s="116">
        <v>40</v>
      </c>
      <c r="H1058" s="165">
        <f t="shared" si="66"/>
        <v>811800</v>
      </c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56"/>
    </row>
    <row r="1059" spans="1:22" x14ac:dyDescent="0.25">
      <c r="A1059" s="25">
        <v>1048</v>
      </c>
      <c r="B1059" s="23"/>
      <c r="C1059" s="93" t="s">
        <v>983</v>
      </c>
      <c r="D1059" s="23"/>
      <c r="E1059" s="8">
        <f t="shared" ref="E1059:E1065" si="69">1*4059</f>
        <v>4059</v>
      </c>
      <c r="F1059" s="23" t="s">
        <v>128</v>
      </c>
      <c r="G1059" s="116">
        <v>45</v>
      </c>
      <c r="H1059" s="165">
        <f t="shared" si="66"/>
        <v>182655</v>
      </c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56"/>
    </row>
    <row r="1060" spans="1:22" x14ac:dyDescent="0.25">
      <c r="A1060" s="25">
        <v>1049</v>
      </c>
      <c r="B1060" s="23"/>
      <c r="C1060" s="93" t="s">
        <v>984</v>
      </c>
      <c r="D1060" s="23"/>
      <c r="E1060" s="8">
        <f t="shared" si="69"/>
        <v>4059</v>
      </c>
      <c r="F1060" s="23" t="s">
        <v>986</v>
      </c>
      <c r="G1060" s="116">
        <v>34.201773836000001</v>
      </c>
      <c r="H1060" s="165">
        <f t="shared" si="66"/>
        <v>138825.00000032401</v>
      </c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56"/>
    </row>
    <row r="1061" spans="1:22" x14ac:dyDescent="0.25">
      <c r="A1061" s="25">
        <v>1050</v>
      </c>
      <c r="B1061" s="23"/>
      <c r="C1061" s="93" t="s">
        <v>418</v>
      </c>
      <c r="D1061" s="23"/>
      <c r="E1061" s="8">
        <f t="shared" si="69"/>
        <v>4059</v>
      </c>
      <c r="F1061" s="23" t="s">
        <v>152</v>
      </c>
      <c r="G1061" s="116">
        <v>75</v>
      </c>
      <c r="H1061" s="165">
        <f t="shared" si="66"/>
        <v>304425</v>
      </c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56"/>
    </row>
    <row r="1062" spans="1:22" x14ac:dyDescent="0.25">
      <c r="A1062" s="25">
        <v>1051</v>
      </c>
      <c r="B1062" s="23"/>
      <c r="C1062" s="93" t="s">
        <v>419</v>
      </c>
      <c r="D1062" s="23"/>
      <c r="E1062" s="8">
        <f t="shared" si="69"/>
        <v>4059</v>
      </c>
      <c r="F1062" s="23" t="s">
        <v>152</v>
      </c>
      <c r="G1062" s="116">
        <v>70</v>
      </c>
      <c r="H1062" s="165">
        <f t="shared" si="66"/>
        <v>284130</v>
      </c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56"/>
    </row>
    <row r="1063" spans="1:22" x14ac:dyDescent="0.25">
      <c r="A1063" s="25">
        <v>1052</v>
      </c>
      <c r="B1063" s="23"/>
      <c r="C1063" s="93" t="s">
        <v>985</v>
      </c>
      <c r="D1063" s="23"/>
      <c r="E1063" s="8">
        <f t="shared" si="69"/>
        <v>4059</v>
      </c>
      <c r="F1063" s="23" t="s">
        <v>152</v>
      </c>
      <c r="G1063" s="116">
        <v>30</v>
      </c>
      <c r="H1063" s="165">
        <f t="shared" si="66"/>
        <v>121770</v>
      </c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56"/>
    </row>
    <row r="1064" spans="1:22" x14ac:dyDescent="0.25">
      <c r="A1064" s="25">
        <v>1053</v>
      </c>
      <c r="B1064" s="23"/>
      <c r="C1064" s="93" t="s">
        <v>417</v>
      </c>
      <c r="D1064" s="23"/>
      <c r="E1064" s="8">
        <f t="shared" si="69"/>
        <v>4059</v>
      </c>
      <c r="F1064" s="23" t="s">
        <v>152</v>
      </c>
      <c r="G1064" s="116">
        <v>25</v>
      </c>
      <c r="H1064" s="165">
        <f t="shared" si="66"/>
        <v>101475</v>
      </c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56"/>
    </row>
    <row r="1065" spans="1:22" x14ac:dyDescent="0.25">
      <c r="A1065" s="25">
        <v>1054</v>
      </c>
      <c r="B1065" s="23"/>
      <c r="C1065" s="93" t="s">
        <v>421</v>
      </c>
      <c r="D1065" s="23"/>
      <c r="E1065" s="8">
        <f t="shared" si="69"/>
        <v>4059</v>
      </c>
      <c r="F1065" s="23" t="s">
        <v>152</v>
      </c>
      <c r="G1065" s="116">
        <v>55</v>
      </c>
      <c r="H1065" s="165">
        <f t="shared" si="66"/>
        <v>223245</v>
      </c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56"/>
    </row>
    <row r="1066" spans="1:22" x14ac:dyDescent="0.25">
      <c r="A1066" s="25">
        <v>1055</v>
      </c>
      <c r="B1066" s="23"/>
      <c r="C1066" s="14"/>
      <c r="D1066" s="23"/>
      <c r="E1066" s="84"/>
      <c r="F1066" s="23"/>
      <c r="G1066" s="184"/>
      <c r="H1066" s="165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56"/>
    </row>
    <row r="1067" spans="1:22" ht="30" x14ac:dyDescent="0.25">
      <c r="A1067" s="25">
        <v>1056</v>
      </c>
      <c r="B1067" s="89" t="s">
        <v>111</v>
      </c>
      <c r="C1067" s="90" t="s">
        <v>108</v>
      </c>
      <c r="D1067" s="89" t="s">
        <v>27</v>
      </c>
      <c r="E1067" s="89"/>
      <c r="F1067" s="89"/>
      <c r="G1067" s="163"/>
      <c r="H1067" s="167">
        <v>184800</v>
      </c>
      <c r="I1067" s="89" t="s">
        <v>93</v>
      </c>
      <c r="J1067" s="60">
        <v>1</v>
      </c>
      <c r="K1067" s="60">
        <v>1</v>
      </c>
      <c r="L1067" s="60">
        <v>1</v>
      </c>
      <c r="M1067" s="60">
        <v>1</v>
      </c>
      <c r="N1067" s="60">
        <v>1</v>
      </c>
      <c r="O1067" s="60">
        <v>1</v>
      </c>
      <c r="P1067" s="60"/>
      <c r="Q1067" s="60"/>
      <c r="R1067" s="60"/>
      <c r="S1067" s="60"/>
      <c r="T1067" s="60"/>
      <c r="U1067" s="60"/>
      <c r="V1067" s="56"/>
    </row>
    <row r="1068" spans="1:22" x14ac:dyDescent="0.25">
      <c r="A1068" s="25">
        <v>1057</v>
      </c>
      <c r="B1068" s="23"/>
      <c r="C1068" s="14" t="s">
        <v>1054</v>
      </c>
      <c r="D1068" s="23"/>
      <c r="E1068" s="84"/>
      <c r="F1068" s="23"/>
      <c r="G1068" s="165"/>
      <c r="H1068" s="165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56"/>
    </row>
    <row r="1069" spans="1:22" x14ac:dyDescent="0.25">
      <c r="A1069" s="25">
        <v>1058</v>
      </c>
      <c r="B1069" s="23"/>
      <c r="C1069" s="39" t="s">
        <v>786</v>
      </c>
      <c r="D1069" s="23"/>
      <c r="E1069" s="36">
        <v>20</v>
      </c>
      <c r="F1069" s="36" t="s">
        <v>567</v>
      </c>
      <c r="G1069" s="95">
        <v>1145</v>
      </c>
      <c r="H1069" s="165">
        <f>G1069*E1069</f>
        <v>22900</v>
      </c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56"/>
    </row>
    <row r="1070" spans="1:22" x14ac:dyDescent="0.25">
      <c r="A1070" s="25">
        <v>1059</v>
      </c>
      <c r="B1070" s="23"/>
      <c r="C1070" s="39" t="s">
        <v>276</v>
      </c>
      <c r="D1070" s="23"/>
      <c r="E1070" s="36">
        <v>10</v>
      </c>
      <c r="F1070" s="36" t="s">
        <v>567</v>
      </c>
      <c r="G1070" s="95">
        <v>820</v>
      </c>
      <c r="H1070" s="165">
        <f>G1070*E1070</f>
        <v>8200</v>
      </c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56"/>
    </row>
    <row r="1071" spans="1:22" x14ac:dyDescent="0.25">
      <c r="A1071" s="25">
        <v>1060</v>
      </c>
      <c r="B1071" s="23"/>
      <c r="C1071" s="39" t="s">
        <v>1046</v>
      </c>
      <c r="D1071" s="23"/>
      <c r="E1071" s="36">
        <v>60</v>
      </c>
      <c r="F1071" s="36" t="s">
        <v>152</v>
      </c>
      <c r="G1071" s="95">
        <v>345</v>
      </c>
      <c r="H1071" s="165">
        <f>G1071*E1071</f>
        <v>20700</v>
      </c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56"/>
    </row>
    <row r="1072" spans="1:22" x14ac:dyDescent="0.25">
      <c r="A1072" s="25">
        <v>1061</v>
      </c>
      <c r="B1072" s="23"/>
      <c r="C1072" s="14" t="s">
        <v>1055</v>
      </c>
      <c r="D1072" s="23"/>
      <c r="E1072" s="36"/>
      <c r="F1072" s="36"/>
      <c r="G1072" s="95"/>
      <c r="H1072" s="165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56"/>
    </row>
    <row r="1073" spans="1:22" x14ac:dyDescent="0.25">
      <c r="A1073" s="25">
        <v>1062</v>
      </c>
      <c r="B1073" s="23"/>
      <c r="C1073" s="39" t="s">
        <v>786</v>
      </c>
      <c r="D1073" s="23"/>
      <c r="E1073" s="36">
        <f>1*35</f>
        <v>35</v>
      </c>
      <c r="F1073" s="36" t="s">
        <v>567</v>
      </c>
      <c r="G1073" s="95">
        <v>1145</v>
      </c>
      <c r="H1073" s="165">
        <f t="shared" ref="H1073:H1075" si="70">G1073*E1073</f>
        <v>40075</v>
      </c>
      <c r="I1073" s="72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56"/>
    </row>
    <row r="1074" spans="1:22" x14ac:dyDescent="0.25">
      <c r="A1074" s="25">
        <v>1063</v>
      </c>
      <c r="B1074" s="23"/>
      <c r="C1074" s="39" t="s">
        <v>276</v>
      </c>
      <c r="D1074" s="23"/>
      <c r="E1074" s="36">
        <f>2*35</f>
        <v>70</v>
      </c>
      <c r="F1074" s="36" t="s">
        <v>567</v>
      </c>
      <c r="G1074" s="95">
        <v>810</v>
      </c>
      <c r="H1074" s="165">
        <f t="shared" si="70"/>
        <v>56700</v>
      </c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56"/>
    </row>
    <row r="1075" spans="1:22" x14ac:dyDescent="0.25">
      <c r="A1075" s="25">
        <v>1064</v>
      </c>
      <c r="B1075" s="23"/>
      <c r="C1075" s="39" t="s">
        <v>1046</v>
      </c>
      <c r="D1075" s="23"/>
      <c r="E1075" s="36">
        <f>3*35</f>
        <v>105</v>
      </c>
      <c r="F1075" s="36" t="s">
        <v>152</v>
      </c>
      <c r="G1075" s="95">
        <v>345</v>
      </c>
      <c r="H1075" s="165">
        <f t="shared" si="70"/>
        <v>36225</v>
      </c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56"/>
    </row>
    <row r="1076" spans="1:22" x14ac:dyDescent="0.25">
      <c r="A1076" s="25">
        <v>1065</v>
      </c>
      <c r="B1076" s="23"/>
      <c r="C1076" s="14"/>
      <c r="D1076" s="23"/>
      <c r="E1076" s="84"/>
      <c r="F1076" s="23"/>
      <c r="G1076" s="165"/>
      <c r="H1076" s="165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56"/>
    </row>
    <row r="1077" spans="1:22" ht="30" x14ac:dyDescent="0.25">
      <c r="A1077" s="25">
        <v>1066</v>
      </c>
      <c r="B1077" s="89" t="s">
        <v>111</v>
      </c>
      <c r="C1077" s="90" t="s">
        <v>34</v>
      </c>
      <c r="D1077" s="89" t="s">
        <v>27</v>
      </c>
      <c r="E1077" s="89"/>
      <c r="F1077" s="89"/>
      <c r="G1077" s="163"/>
      <c r="H1077" s="167">
        <v>6500</v>
      </c>
      <c r="I1077" s="89" t="s">
        <v>93</v>
      </c>
      <c r="J1077" s="60"/>
      <c r="K1077" s="60"/>
      <c r="L1077" s="60"/>
      <c r="M1077" s="60">
        <v>2</v>
      </c>
      <c r="N1077" s="60"/>
      <c r="O1077" s="60"/>
      <c r="P1077" s="60">
        <v>3</v>
      </c>
      <c r="Q1077" s="60"/>
      <c r="R1077" s="60"/>
      <c r="S1077" s="60"/>
      <c r="T1077" s="60"/>
      <c r="U1077" s="60"/>
      <c r="V1077" s="56"/>
    </row>
    <row r="1078" spans="1:22" x14ac:dyDescent="0.25">
      <c r="A1078" s="25">
        <v>1067</v>
      </c>
      <c r="B1078" s="23"/>
      <c r="C1078" s="11" t="s">
        <v>1110</v>
      </c>
      <c r="D1078" s="23"/>
      <c r="E1078" s="2">
        <v>35</v>
      </c>
      <c r="F1078" s="2" t="s">
        <v>152</v>
      </c>
      <c r="G1078" s="12">
        <v>20</v>
      </c>
      <c r="H1078" s="165">
        <f>G1078*E1078</f>
        <v>700</v>
      </c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56"/>
    </row>
    <row r="1079" spans="1:22" x14ac:dyDescent="0.25">
      <c r="A1079" s="25">
        <v>1068</v>
      </c>
      <c r="B1079" s="23"/>
      <c r="C1079" s="11" t="s">
        <v>356</v>
      </c>
      <c r="D1079" s="23"/>
      <c r="E1079" s="2">
        <v>35</v>
      </c>
      <c r="F1079" s="2" t="s">
        <v>152</v>
      </c>
      <c r="G1079" s="12">
        <v>20</v>
      </c>
      <c r="H1079" s="165">
        <f t="shared" ref="H1079:H1084" si="71">G1079*E1079</f>
        <v>700</v>
      </c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56"/>
    </row>
    <row r="1080" spans="1:22" x14ac:dyDescent="0.25">
      <c r="A1080" s="25">
        <v>1069</v>
      </c>
      <c r="B1080" s="23"/>
      <c r="C1080" s="11" t="s">
        <v>587</v>
      </c>
      <c r="D1080" s="23"/>
      <c r="E1080" s="2">
        <v>35</v>
      </c>
      <c r="F1080" s="2" t="s">
        <v>152</v>
      </c>
      <c r="G1080" s="12">
        <v>80</v>
      </c>
      <c r="H1080" s="165">
        <f t="shared" si="71"/>
        <v>2800</v>
      </c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56"/>
    </row>
    <row r="1081" spans="1:22" x14ac:dyDescent="0.25">
      <c r="A1081" s="25">
        <v>1070</v>
      </c>
      <c r="B1081" s="23"/>
      <c r="C1081" s="11" t="s">
        <v>278</v>
      </c>
      <c r="D1081" s="23"/>
      <c r="E1081" s="2">
        <v>35</v>
      </c>
      <c r="F1081" s="2" t="s">
        <v>152</v>
      </c>
      <c r="G1081" s="12">
        <v>35</v>
      </c>
      <c r="H1081" s="165">
        <f t="shared" si="71"/>
        <v>1225</v>
      </c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56"/>
    </row>
    <row r="1082" spans="1:22" x14ac:dyDescent="0.25">
      <c r="A1082" s="25">
        <v>1071</v>
      </c>
      <c r="B1082" s="23"/>
      <c r="C1082" s="11" t="s">
        <v>1111</v>
      </c>
      <c r="D1082" s="23"/>
      <c r="E1082" s="2">
        <v>10</v>
      </c>
      <c r="F1082" s="2" t="s">
        <v>152</v>
      </c>
      <c r="G1082" s="12">
        <v>35</v>
      </c>
      <c r="H1082" s="165">
        <f t="shared" si="71"/>
        <v>350</v>
      </c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56"/>
    </row>
    <row r="1083" spans="1:22" x14ac:dyDescent="0.25">
      <c r="A1083" s="25">
        <v>1072</v>
      </c>
      <c r="B1083" s="23"/>
      <c r="C1083" s="11" t="s">
        <v>1112</v>
      </c>
      <c r="D1083" s="23"/>
      <c r="E1083" s="2">
        <v>10</v>
      </c>
      <c r="F1083" s="2" t="s">
        <v>152</v>
      </c>
      <c r="G1083" s="12">
        <v>35</v>
      </c>
      <c r="H1083" s="165">
        <f t="shared" si="71"/>
        <v>350</v>
      </c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56"/>
    </row>
    <row r="1084" spans="1:22" x14ac:dyDescent="0.25">
      <c r="A1084" s="25">
        <v>1073</v>
      </c>
      <c r="B1084" s="23"/>
      <c r="C1084" s="11" t="s">
        <v>1113</v>
      </c>
      <c r="D1084" s="23"/>
      <c r="E1084" s="2">
        <v>10</v>
      </c>
      <c r="F1084" s="2" t="s">
        <v>152</v>
      </c>
      <c r="G1084" s="12">
        <v>37.5</v>
      </c>
      <c r="H1084" s="165">
        <f t="shared" si="71"/>
        <v>375</v>
      </c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56"/>
    </row>
    <row r="1085" spans="1:22" x14ac:dyDescent="0.25">
      <c r="A1085" s="25">
        <v>1074</v>
      </c>
      <c r="B1085" s="23"/>
      <c r="C1085" s="14"/>
      <c r="D1085" s="23"/>
      <c r="E1085" s="84"/>
      <c r="F1085" s="23"/>
      <c r="G1085" s="165"/>
      <c r="H1085" s="165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56"/>
    </row>
    <row r="1086" spans="1:22" ht="30" x14ac:dyDescent="0.25">
      <c r="A1086" s="25">
        <v>1075</v>
      </c>
      <c r="B1086" s="89" t="s">
        <v>111</v>
      </c>
      <c r="C1086" s="90" t="s">
        <v>44</v>
      </c>
      <c r="D1086" s="89" t="s">
        <v>27</v>
      </c>
      <c r="E1086" s="89"/>
      <c r="F1086" s="89"/>
      <c r="G1086" s="163"/>
      <c r="H1086" s="167">
        <v>1555680</v>
      </c>
      <c r="I1086" s="89" t="s">
        <v>93</v>
      </c>
      <c r="J1086" s="60"/>
      <c r="K1086" s="60"/>
      <c r="L1086" s="60"/>
      <c r="M1086" s="60">
        <v>4</v>
      </c>
      <c r="N1086" s="60"/>
      <c r="O1086" s="60"/>
      <c r="P1086" s="60"/>
      <c r="Q1086" s="60"/>
      <c r="R1086" s="60"/>
      <c r="S1086" s="60">
        <v>4</v>
      </c>
      <c r="T1086" s="60"/>
      <c r="U1086" s="60"/>
      <c r="V1086" s="56"/>
    </row>
    <row r="1087" spans="1:22" ht="28.5" x14ac:dyDescent="0.25">
      <c r="A1087" s="25">
        <v>1076</v>
      </c>
      <c r="B1087" s="23"/>
      <c r="C1087" s="14" t="s">
        <v>1419</v>
      </c>
      <c r="D1087" s="23"/>
      <c r="E1087" s="84"/>
      <c r="F1087" s="23"/>
      <c r="G1087" s="165"/>
      <c r="H1087" s="165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56"/>
    </row>
    <row r="1088" spans="1:22" x14ac:dyDescent="0.25">
      <c r="A1088" s="25">
        <v>1077</v>
      </c>
      <c r="B1088" s="23"/>
      <c r="C1088" s="1" t="s">
        <v>797</v>
      </c>
      <c r="D1088" s="23"/>
      <c r="E1088" s="8">
        <f>1*1040*2</f>
        <v>2080</v>
      </c>
      <c r="F1088" s="8" t="s">
        <v>152</v>
      </c>
      <c r="G1088" s="181">
        <v>8</v>
      </c>
      <c r="H1088" s="165">
        <f>G1088*E1088</f>
        <v>16640</v>
      </c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56"/>
    </row>
    <row r="1089" spans="1:22" x14ac:dyDescent="0.25">
      <c r="A1089" s="25">
        <v>1078</v>
      </c>
      <c r="B1089" s="23"/>
      <c r="C1089" s="1" t="s">
        <v>783</v>
      </c>
      <c r="D1089" s="23"/>
      <c r="E1089" s="8">
        <f t="shared" ref="E1089:E1093" si="72">1*1040*2</f>
        <v>2080</v>
      </c>
      <c r="F1089" s="8" t="s">
        <v>785</v>
      </c>
      <c r="G1089" s="181">
        <v>16</v>
      </c>
      <c r="H1089" s="165">
        <f t="shared" ref="H1089:H1101" si="73">G1089*E1089</f>
        <v>33280</v>
      </c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56"/>
    </row>
    <row r="1090" spans="1:22" x14ac:dyDescent="0.25">
      <c r="A1090" s="25">
        <v>1079</v>
      </c>
      <c r="B1090" s="23"/>
      <c r="C1090" s="1" t="s">
        <v>798</v>
      </c>
      <c r="D1090" s="23"/>
      <c r="E1090" s="8">
        <f t="shared" si="72"/>
        <v>2080</v>
      </c>
      <c r="F1090" s="8" t="s">
        <v>803</v>
      </c>
      <c r="G1090" s="181">
        <v>3</v>
      </c>
      <c r="H1090" s="165">
        <f t="shared" si="73"/>
        <v>6240</v>
      </c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56"/>
    </row>
    <row r="1091" spans="1:22" x14ac:dyDescent="0.25">
      <c r="A1091" s="25">
        <v>1080</v>
      </c>
      <c r="B1091" s="23"/>
      <c r="C1091" s="1" t="s">
        <v>799</v>
      </c>
      <c r="D1091" s="23"/>
      <c r="E1091" s="8">
        <f t="shared" si="72"/>
        <v>2080</v>
      </c>
      <c r="F1091" s="8" t="s">
        <v>152</v>
      </c>
      <c r="G1091" s="181">
        <v>2</v>
      </c>
      <c r="H1091" s="165">
        <f t="shared" si="73"/>
        <v>4160</v>
      </c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56"/>
    </row>
    <row r="1092" spans="1:22" x14ac:dyDescent="0.25">
      <c r="A1092" s="25">
        <v>1081</v>
      </c>
      <c r="B1092" s="23"/>
      <c r="C1092" s="1" t="s">
        <v>800</v>
      </c>
      <c r="D1092" s="23"/>
      <c r="E1092" s="8">
        <f t="shared" si="72"/>
        <v>2080</v>
      </c>
      <c r="F1092" s="8" t="s">
        <v>152</v>
      </c>
      <c r="G1092" s="181">
        <v>13</v>
      </c>
      <c r="H1092" s="165">
        <f t="shared" si="73"/>
        <v>27040</v>
      </c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56"/>
    </row>
    <row r="1093" spans="1:22" x14ac:dyDescent="0.25">
      <c r="A1093" s="25">
        <v>1082</v>
      </c>
      <c r="B1093" s="23"/>
      <c r="C1093" s="1" t="s">
        <v>801</v>
      </c>
      <c r="D1093" s="23"/>
      <c r="E1093" s="8">
        <f t="shared" si="72"/>
        <v>2080</v>
      </c>
      <c r="F1093" s="8" t="s">
        <v>152</v>
      </c>
      <c r="G1093" s="181">
        <v>8</v>
      </c>
      <c r="H1093" s="165">
        <f t="shared" si="73"/>
        <v>16640</v>
      </c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56"/>
    </row>
    <row r="1094" spans="1:22" x14ac:dyDescent="0.25">
      <c r="A1094" s="25">
        <v>1083</v>
      </c>
      <c r="B1094" s="23"/>
      <c r="C1094" s="39" t="s">
        <v>802</v>
      </c>
      <c r="D1094" s="23"/>
      <c r="E1094" s="8">
        <v>1040</v>
      </c>
      <c r="F1094" s="36" t="s">
        <v>884</v>
      </c>
      <c r="G1094" s="183">
        <v>140</v>
      </c>
      <c r="H1094" s="165">
        <f t="shared" si="73"/>
        <v>145600</v>
      </c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56"/>
    </row>
    <row r="1095" spans="1:22" x14ac:dyDescent="0.25">
      <c r="A1095" s="25">
        <v>1084</v>
      </c>
      <c r="B1095" s="23"/>
      <c r="C1095" s="11" t="s">
        <v>786</v>
      </c>
      <c r="D1095" s="23"/>
      <c r="E1095" s="2">
        <f>1040*2</f>
        <v>2080</v>
      </c>
      <c r="F1095" s="8" t="s">
        <v>152</v>
      </c>
      <c r="G1095" s="24">
        <v>40</v>
      </c>
      <c r="H1095" s="165">
        <f t="shared" si="73"/>
        <v>83200</v>
      </c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56"/>
    </row>
    <row r="1096" spans="1:22" x14ac:dyDescent="0.25">
      <c r="A1096" s="25">
        <v>1085</v>
      </c>
      <c r="B1096" s="23"/>
      <c r="C1096" s="11" t="s">
        <v>383</v>
      </c>
      <c r="D1096" s="23"/>
      <c r="E1096" s="2">
        <f>1040*2</f>
        <v>2080</v>
      </c>
      <c r="F1096" s="8" t="s">
        <v>152</v>
      </c>
      <c r="G1096" s="24">
        <v>26</v>
      </c>
      <c r="H1096" s="165">
        <f t="shared" si="73"/>
        <v>54080</v>
      </c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56"/>
    </row>
    <row r="1097" spans="1:22" x14ac:dyDescent="0.25">
      <c r="A1097" s="25">
        <v>1086</v>
      </c>
      <c r="B1097" s="23"/>
      <c r="C1097" s="11" t="s">
        <v>774</v>
      </c>
      <c r="D1097" s="23"/>
      <c r="E1097" s="2">
        <f>1040*2</f>
        <v>2080</v>
      </c>
      <c r="F1097" s="8" t="s">
        <v>152</v>
      </c>
      <c r="G1097" s="24">
        <v>30</v>
      </c>
      <c r="H1097" s="165">
        <f t="shared" si="73"/>
        <v>62400</v>
      </c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56"/>
    </row>
    <row r="1098" spans="1:22" x14ac:dyDescent="0.25">
      <c r="A1098" s="25">
        <v>1087</v>
      </c>
      <c r="B1098" s="23"/>
      <c r="C1098" s="11" t="s">
        <v>490</v>
      </c>
      <c r="D1098" s="23"/>
      <c r="E1098" s="2">
        <v>110</v>
      </c>
      <c r="F1098" s="8" t="s">
        <v>152</v>
      </c>
      <c r="G1098" s="24">
        <v>60</v>
      </c>
      <c r="H1098" s="165">
        <f t="shared" si="73"/>
        <v>6600</v>
      </c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56"/>
    </row>
    <row r="1099" spans="1:22" x14ac:dyDescent="0.25">
      <c r="A1099" s="25">
        <v>1088</v>
      </c>
      <c r="B1099" s="23"/>
      <c r="C1099" s="11" t="s">
        <v>491</v>
      </c>
      <c r="D1099" s="23"/>
      <c r="E1099" s="2">
        <f>1040*2</f>
        <v>2080</v>
      </c>
      <c r="F1099" s="8" t="s">
        <v>152</v>
      </c>
      <c r="G1099" s="24">
        <v>40</v>
      </c>
      <c r="H1099" s="165">
        <f t="shared" si="73"/>
        <v>83200</v>
      </c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56"/>
    </row>
    <row r="1100" spans="1:22" x14ac:dyDescent="0.25">
      <c r="A1100" s="25">
        <v>1089</v>
      </c>
      <c r="B1100" s="23"/>
      <c r="C1100" s="11" t="s">
        <v>796</v>
      </c>
      <c r="D1100" s="23"/>
      <c r="E1100" s="8">
        <v>1040</v>
      </c>
      <c r="F1100" s="8" t="s">
        <v>152</v>
      </c>
      <c r="G1100" s="24">
        <v>272.5</v>
      </c>
      <c r="H1100" s="165">
        <f t="shared" si="73"/>
        <v>283400</v>
      </c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56"/>
    </row>
    <row r="1101" spans="1:22" x14ac:dyDescent="0.25">
      <c r="A1101" s="25">
        <v>1090</v>
      </c>
      <c r="B1101" s="23"/>
      <c r="C1101" s="11" t="s">
        <v>883</v>
      </c>
      <c r="D1101" s="23"/>
      <c r="E1101" s="8">
        <v>1040</v>
      </c>
      <c r="F1101" s="2" t="s">
        <v>128</v>
      </c>
      <c r="G1101" s="24">
        <v>705</v>
      </c>
      <c r="H1101" s="165">
        <f t="shared" si="73"/>
        <v>733200</v>
      </c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56"/>
    </row>
    <row r="1102" spans="1:22" x14ac:dyDescent="0.25">
      <c r="A1102" s="25">
        <v>1091</v>
      </c>
      <c r="B1102" s="23"/>
      <c r="C1102" s="14"/>
      <c r="D1102" s="23"/>
      <c r="E1102" s="84"/>
      <c r="F1102" s="23"/>
      <c r="G1102" s="165"/>
      <c r="H1102" s="165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56"/>
    </row>
    <row r="1103" spans="1:22" ht="30" x14ac:dyDescent="0.25">
      <c r="A1103" s="25">
        <v>1092</v>
      </c>
      <c r="B1103" s="89" t="s">
        <v>111</v>
      </c>
      <c r="C1103" s="90" t="s">
        <v>98</v>
      </c>
      <c r="D1103" s="89" t="s">
        <v>27</v>
      </c>
      <c r="E1103" s="89"/>
      <c r="F1103" s="89"/>
      <c r="G1103" s="163"/>
      <c r="H1103" s="167">
        <v>171500</v>
      </c>
      <c r="I1103" s="89" t="s">
        <v>93</v>
      </c>
      <c r="J1103" s="60">
        <v>1</v>
      </c>
      <c r="K1103" s="60">
        <v>1</v>
      </c>
      <c r="L1103" s="60">
        <v>1</v>
      </c>
      <c r="M1103" s="60">
        <v>1</v>
      </c>
      <c r="N1103" s="60">
        <v>1</v>
      </c>
      <c r="O1103" s="60">
        <v>1</v>
      </c>
      <c r="P1103" s="60">
        <v>1</v>
      </c>
      <c r="Q1103" s="60">
        <v>1</v>
      </c>
      <c r="R1103" s="60">
        <v>1</v>
      </c>
      <c r="S1103" s="60">
        <v>1</v>
      </c>
      <c r="T1103" s="60">
        <v>1</v>
      </c>
      <c r="U1103" s="60">
        <v>1</v>
      </c>
      <c r="V1103" s="56"/>
    </row>
    <row r="1104" spans="1:22" x14ac:dyDescent="0.25">
      <c r="A1104" s="25">
        <v>1093</v>
      </c>
      <c r="B1104" s="23"/>
      <c r="C1104" s="14" t="s">
        <v>910</v>
      </c>
      <c r="D1104" s="23"/>
      <c r="E1104" s="84"/>
      <c r="F1104" s="23"/>
      <c r="G1104" s="165"/>
      <c r="H1104" s="165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56"/>
    </row>
    <row r="1105" spans="1:22" x14ac:dyDescent="0.25">
      <c r="A1105" s="25">
        <v>1094</v>
      </c>
      <c r="B1105" s="23"/>
      <c r="C1105" s="50" t="s">
        <v>752</v>
      </c>
      <c r="D1105" s="23"/>
      <c r="E1105" s="8">
        <f>10*14</f>
        <v>140</v>
      </c>
      <c r="F1105" s="8" t="s">
        <v>290</v>
      </c>
      <c r="G1105" s="49">
        <v>380</v>
      </c>
      <c r="H1105" s="49">
        <f>G1105*E1105</f>
        <v>53200</v>
      </c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56"/>
    </row>
    <row r="1106" spans="1:22" x14ac:dyDescent="0.25">
      <c r="A1106" s="25">
        <v>1095</v>
      </c>
      <c r="B1106" s="23"/>
      <c r="C1106" s="50" t="s">
        <v>900</v>
      </c>
      <c r="D1106" s="23"/>
      <c r="E1106" s="8">
        <f>5*14</f>
        <v>70</v>
      </c>
      <c r="F1106" s="8" t="s">
        <v>290</v>
      </c>
      <c r="G1106" s="49">
        <v>410</v>
      </c>
      <c r="H1106" s="49">
        <f t="shared" ref="H1106:H1116" si="74">G1106*E1106</f>
        <v>28700</v>
      </c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56"/>
    </row>
    <row r="1107" spans="1:22" x14ac:dyDescent="0.25">
      <c r="A1107" s="25">
        <v>1096</v>
      </c>
      <c r="B1107" s="23"/>
      <c r="C1107" s="50" t="s">
        <v>901</v>
      </c>
      <c r="D1107" s="23"/>
      <c r="E1107" s="8">
        <f>15*14</f>
        <v>210</v>
      </c>
      <c r="F1107" s="8" t="s">
        <v>152</v>
      </c>
      <c r="G1107" s="49">
        <v>15</v>
      </c>
      <c r="H1107" s="49">
        <f t="shared" si="74"/>
        <v>3150</v>
      </c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56"/>
    </row>
    <row r="1108" spans="1:22" x14ac:dyDescent="0.25">
      <c r="A1108" s="25">
        <v>1097</v>
      </c>
      <c r="B1108" s="23"/>
      <c r="C1108" s="50" t="s">
        <v>902</v>
      </c>
      <c r="D1108" s="23"/>
      <c r="E1108" s="8">
        <f>15*14</f>
        <v>210</v>
      </c>
      <c r="F1108" s="8" t="s">
        <v>152</v>
      </c>
      <c r="G1108" s="49">
        <v>12</v>
      </c>
      <c r="H1108" s="49">
        <f t="shared" si="74"/>
        <v>2520</v>
      </c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56"/>
    </row>
    <row r="1109" spans="1:22" x14ac:dyDescent="0.25">
      <c r="A1109" s="25">
        <v>1098</v>
      </c>
      <c r="B1109" s="23"/>
      <c r="C1109" s="50" t="s">
        <v>903</v>
      </c>
      <c r="D1109" s="23"/>
      <c r="E1109" s="8">
        <f>5*14</f>
        <v>70</v>
      </c>
      <c r="F1109" s="25" t="s">
        <v>310</v>
      </c>
      <c r="G1109" s="49">
        <v>80</v>
      </c>
      <c r="H1109" s="49">
        <f t="shared" si="74"/>
        <v>5600</v>
      </c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56"/>
    </row>
    <row r="1110" spans="1:22" x14ac:dyDescent="0.25">
      <c r="A1110" s="25">
        <v>1099</v>
      </c>
      <c r="B1110" s="23"/>
      <c r="C1110" s="50" t="s">
        <v>904</v>
      </c>
      <c r="D1110" s="23"/>
      <c r="E1110" s="8">
        <f>30*14</f>
        <v>420</v>
      </c>
      <c r="F1110" s="8" t="s">
        <v>152</v>
      </c>
      <c r="G1110" s="49">
        <v>25</v>
      </c>
      <c r="H1110" s="49">
        <f t="shared" si="74"/>
        <v>10500</v>
      </c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56"/>
    </row>
    <row r="1111" spans="1:22" x14ac:dyDescent="0.25">
      <c r="A1111" s="25">
        <v>1100</v>
      </c>
      <c r="B1111" s="23"/>
      <c r="C1111" s="50" t="s">
        <v>905</v>
      </c>
      <c r="D1111" s="23"/>
      <c r="E1111" s="8">
        <f>30*14</f>
        <v>420</v>
      </c>
      <c r="F1111" s="8" t="s">
        <v>152</v>
      </c>
      <c r="G1111" s="49">
        <v>50</v>
      </c>
      <c r="H1111" s="49">
        <f t="shared" si="74"/>
        <v>21000</v>
      </c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56"/>
    </row>
    <row r="1112" spans="1:22" x14ac:dyDescent="0.25">
      <c r="A1112" s="25">
        <v>1101</v>
      </c>
      <c r="B1112" s="23"/>
      <c r="C1112" s="50" t="s">
        <v>906</v>
      </c>
      <c r="D1112" s="23"/>
      <c r="E1112" s="8">
        <f>30*14</f>
        <v>420</v>
      </c>
      <c r="F1112" s="8" t="s">
        <v>152</v>
      </c>
      <c r="G1112" s="49">
        <v>15</v>
      </c>
      <c r="H1112" s="49">
        <f t="shared" si="74"/>
        <v>6300</v>
      </c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56"/>
    </row>
    <row r="1113" spans="1:22" x14ac:dyDescent="0.25">
      <c r="A1113" s="25">
        <v>1102</v>
      </c>
      <c r="B1113" s="23"/>
      <c r="C1113" s="50" t="s">
        <v>907</v>
      </c>
      <c r="D1113" s="23"/>
      <c r="E1113" s="8">
        <f>10*14</f>
        <v>140</v>
      </c>
      <c r="F1113" s="8" t="s">
        <v>152</v>
      </c>
      <c r="G1113" s="49">
        <v>150</v>
      </c>
      <c r="H1113" s="49">
        <f t="shared" si="74"/>
        <v>21000</v>
      </c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56"/>
    </row>
    <row r="1114" spans="1:22" x14ac:dyDescent="0.25">
      <c r="A1114" s="25">
        <v>1103</v>
      </c>
      <c r="B1114" s="23"/>
      <c r="C1114" s="50" t="s">
        <v>908</v>
      </c>
      <c r="D1114" s="23"/>
      <c r="E1114" s="8">
        <f>3*14</f>
        <v>42</v>
      </c>
      <c r="F1114" s="8" t="s">
        <v>152</v>
      </c>
      <c r="G1114" s="49">
        <v>125</v>
      </c>
      <c r="H1114" s="49">
        <f t="shared" si="74"/>
        <v>5250</v>
      </c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56"/>
    </row>
    <row r="1115" spans="1:22" x14ac:dyDescent="0.25">
      <c r="A1115" s="25">
        <v>1104</v>
      </c>
      <c r="B1115" s="23"/>
      <c r="C1115" s="50" t="s">
        <v>909</v>
      </c>
      <c r="D1115" s="23"/>
      <c r="E1115" s="8">
        <f>5*14</f>
        <v>70</v>
      </c>
      <c r="F1115" s="23" t="s">
        <v>567</v>
      </c>
      <c r="G1115" s="49">
        <v>120</v>
      </c>
      <c r="H1115" s="49">
        <f t="shared" si="74"/>
        <v>8400</v>
      </c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56"/>
    </row>
    <row r="1116" spans="1:22" x14ac:dyDescent="0.25">
      <c r="A1116" s="25">
        <v>1105</v>
      </c>
      <c r="B1116" s="23"/>
      <c r="C1116" s="50" t="s">
        <v>822</v>
      </c>
      <c r="D1116" s="23"/>
      <c r="E1116" s="8">
        <f>3*14</f>
        <v>42</v>
      </c>
      <c r="F1116" s="8" t="s">
        <v>291</v>
      </c>
      <c r="G1116" s="49">
        <v>140</v>
      </c>
      <c r="H1116" s="49">
        <f t="shared" si="74"/>
        <v>5880</v>
      </c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56"/>
    </row>
    <row r="1117" spans="1:22" x14ac:dyDescent="0.25">
      <c r="A1117" s="25">
        <v>1106</v>
      </c>
      <c r="B1117" s="23"/>
      <c r="C1117" s="14"/>
      <c r="D1117" s="23"/>
      <c r="E1117" s="84"/>
      <c r="F1117" s="23"/>
      <c r="G1117" s="165"/>
      <c r="H1117" s="165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56"/>
    </row>
    <row r="1118" spans="1:22" ht="30" x14ac:dyDescent="0.25">
      <c r="A1118" s="25">
        <v>1107</v>
      </c>
      <c r="B1118" s="89" t="s">
        <v>111</v>
      </c>
      <c r="C1118" s="90" t="s">
        <v>47</v>
      </c>
      <c r="D1118" s="89" t="s">
        <v>27</v>
      </c>
      <c r="E1118" s="89"/>
      <c r="F1118" s="89"/>
      <c r="G1118" s="163"/>
      <c r="H1118" s="167">
        <v>76680</v>
      </c>
      <c r="I1118" s="89" t="s">
        <v>93</v>
      </c>
      <c r="J1118" s="60"/>
      <c r="K1118" s="60"/>
      <c r="L1118" s="60"/>
      <c r="M1118" s="60"/>
      <c r="N1118" s="60">
        <v>1</v>
      </c>
      <c r="O1118" s="60"/>
      <c r="P1118" s="60">
        <v>2</v>
      </c>
      <c r="Q1118" s="60"/>
      <c r="R1118" s="60"/>
      <c r="S1118" s="60"/>
      <c r="T1118" s="60"/>
      <c r="U1118" s="60"/>
      <c r="V1118" s="56"/>
    </row>
    <row r="1119" spans="1:22" x14ac:dyDescent="0.25">
      <c r="A1119" s="25">
        <v>1108</v>
      </c>
      <c r="B1119" s="23"/>
      <c r="C1119" s="125" t="s">
        <v>1421</v>
      </c>
      <c r="D1119" s="23"/>
      <c r="E1119" s="126">
        <f>5*4</f>
        <v>20</v>
      </c>
      <c r="F1119" s="23" t="s">
        <v>567</v>
      </c>
      <c r="G1119" s="182">
        <v>1250</v>
      </c>
      <c r="H1119" s="165">
        <f>G1119*E1119</f>
        <v>25000</v>
      </c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56"/>
    </row>
    <row r="1120" spans="1:22" x14ac:dyDescent="0.25">
      <c r="A1120" s="25">
        <v>1109</v>
      </c>
      <c r="B1120" s="23"/>
      <c r="C1120" s="125" t="s">
        <v>383</v>
      </c>
      <c r="D1120" s="23"/>
      <c r="E1120" s="126">
        <f>5*4</f>
        <v>20</v>
      </c>
      <c r="F1120" s="23" t="s">
        <v>567</v>
      </c>
      <c r="G1120" s="182">
        <v>150</v>
      </c>
      <c r="H1120" s="165">
        <f t="shared" ref="H1120:H1131" si="75">G1120*E1120</f>
        <v>3000</v>
      </c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56"/>
    </row>
    <row r="1121" spans="1:22" x14ac:dyDescent="0.25">
      <c r="A1121" s="25">
        <v>1110</v>
      </c>
      <c r="B1121" s="23"/>
      <c r="C1121" s="125" t="s">
        <v>922</v>
      </c>
      <c r="D1121" s="23"/>
      <c r="E1121" s="126">
        <f>4*4</f>
        <v>16</v>
      </c>
      <c r="F1121" s="23" t="s">
        <v>567</v>
      </c>
      <c r="G1121" s="182">
        <v>320</v>
      </c>
      <c r="H1121" s="165">
        <f t="shared" si="75"/>
        <v>5120</v>
      </c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56"/>
    </row>
    <row r="1122" spans="1:22" x14ac:dyDescent="0.25">
      <c r="A1122" s="25">
        <v>1111</v>
      </c>
      <c r="B1122" s="23"/>
      <c r="C1122" s="125" t="s">
        <v>774</v>
      </c>
      <c r="D1122" s="23"/>
      <c r="E1122" s="126">
        <f>4*4</f>
        <v>16</v>
      </c>
      <c r="F1122" s="23" t="s">
        <v>567</v>
      </c>
      <c r="G1122" s="182">
        <v>320</v>
      </c>
      <c r="H1122" s="165">
        <f t="shared" si="75"/>
        <v>5120</v>
      </c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56"/>
    </row>
    <row r="1123" spans="1:22" x14ac:dyDescent="0.25">
      <c r="A1123" s="25">
        <v>1112</v>
      </c>
      <c r="B1123" s="23"/>
      <c r="C1123" s="125" t="s">
        <v>787</v>
      </c>
      <c r="D1123" s="23"/>
      <c r="E1123" s="126">
        <f>3*4</f>
        <v>12</v>
      </c>
      <c r="F1123" s="23" t="s">
        <v>567</v>
      </c>
      <c r="G1123" s="182">
        <v>75</v>
      </c>
      <c r="H1123" s="165">
        <f t="shared" si="75"/>
        <v>900</v>
      </c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56"/>
    </row>
    <row r="1124" spans="1:22" x14ac:dyDescent="0.25">
      <c r="A1124" s="25">
        <v>1113</v>
      </c>
      <c r="B1124" s="23"/>
      <c r="C1124" s="125" t="s">
        <v>756</v>
      </c>
      <c r="D1124" s="23"/>
      <c r="E1124" s="126">
        <f>3*4</f>
        <v>12</v>
      </c>
      <c r="F1124" s="23" t="s">
        <v>567</v>
      </c>
      <c r="G1124" s="182">
        <v>115</v>
      </c>
      <c r="H1124" s="165">
        <f t="shared" si="75"/>
        <v>1380</v>
      </c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56"/>
    </row>
    <row r="1125" spans="1:22" x14ac:dyDescent="0.25">
      <c r="A1125" s="25">
        <v>1114</v>
      </c>
      <c r="B1125" s="23"/>
      <c r="C1125" s="125" t="s">
        <v>776</v>
      </c>
      <c r="D1125" s="23"/>
      <c r="E1125" s="126">
        <f t="shared" ref="E1125:E1127" si="76">3*4</f>
        <v>12</v>
      </c>
      <c r="F1125" s="23" t="s">
        <v>567</v>
      </c>
      <c r="G1125" s="182">
        <v>315</v>
      </c>
      <c r="H1125" s="165">
        <f t="shared" si="75"/>
        <v>3780</v>
      </c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56"/>
    </row>
    <row r="1126" spans="1:22" x14ac:dyDescent="0.25">
      <c r="A1126" s="25">
        <v>1115</v>
      </c>
      <c r="B1126" s="23"/>
      <c r="C1126" s="125" t="s">
        <v>789</v>
      </c>
      <c r="D1126" s="23"/>
      <c r="E1126" s="126">
        <f t="shared" si="76"/>
        <v>12</v>
      </c>
      <c r="F1126" s="126" t="s">
        <v>152</v>
      </c>
      <c r="G1126" s="182">
        <v>100</v>
      </c>
      <c r="H1126" s="165">
        <f t="shared" si="75"/>
        <v>1200</v>
      </c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56"/>
    </row>
    <row r="1127" spans="1:22" x14ac:dyDescent="0.25">
      <c r="A1127" s="25">
        <v>1116</v>
      </c>
      <c r="B1127" s="23"/>
      <c r="C1127" s="125" t="s">
        <v>1085</v>
      </c>
      <c r="D1127" s="23"/>
      <c r="E1127" s="126">
        <f t="shared" si="76"/>
        <v>12</v>
      </c>
      <c r="F1127" s="126" t="s">
        <v>152</v>
      </c>
      <c r="G1127" s="182">
        <v>185</v>
      </c>
      <c r="H1127" s="165">
        <f t="shared" si="75"/>
        <v>2220</v>
      </c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56"/>
    </row>
    <row r="1128" spans="1:22" x14ac:dyDescent="0.25">
      <c r="A1128" s="25">
        <v>1117</v>
      </c>
      <c r="B1128" s="23"/>
      <c r="C1128" s="125" t="s">
        <v>988</v>
      </c>
      <c r="D1128" s="23"/>
      <c r="E1128" s="126">
        <f>5*4</f>
        <v>20</v>
      </c>
      <c r="F1128" s="23" t="s">
        <v>567</v>
      </c>
      <c r="G1128" s="182">
        <v>125</v>
      </c>
      <c r="H1128" s="165">
        <f t="shared" si="75"/>
        <v>2500</v>
      </c>
      <c r="I1128" s="66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56"/>
    </row>
    <row r="1129" spans="1:22" x14ac:dyDescent="0.25">
      <c r="A1129" s="25">
        <v>1118</v>
      </c>
      <c r="B1129" s="23"/>
      <c r="C1129" s="125" t="s">
        <v>791</v>
      </c>
      <c r="D1129" s="23"/>
      <c r="E1129" s="126">
        <f>5*4</f>
        <v>20</v>
      </c>
      <c r="F1129" s="23" t="s">
        <v>567</v>
      </c>
      <c r="G1129" s="182">
        <v>375</v>
      </c>
      <c r="H1129" s="165">
        <f t="shared" si="75"/>
        <v>7500</v>
      </c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56"/>
    </row>
    <row r="1130" spans="1:22" x14ac:dyDescent="0.25">
      <c r="A1130" s="25">
        <v>1119</v>
      </c>
      <c r="B1130" s="23"/>
      <c r="C1130" s="125" t="s">
        <v>793</v>
      </c>
      <c r="D1130" s="23"/>
      <c r="E1130" s="126">
        <f>2*4</f>
        <v>8</v>
      </c>
      <c r="F1130" s="126" t="s">
        <v>152</v>
      </c>
      <c r="G1130" s="182">
        <v>130</v>
      </c>
      <c r="H1130" s="165">
        <f t="shared" si="75"/>
        <v>1040</v>
      </c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56"/>
    </row>
    <row r="1131" spans="1:22" x14ac:dyDescent="0.25">
      <c r="A1131" s="25">
        <v>1120</v>
      </c>
      <c r="B1131" s="23"/>
      <c r="C1131" s="125" t="s">
        <v>794</v>
      </c>
      <c r="D1131" s="23"/>
      <c r="E1131" s="126">
        <f>8*4</f>
        <v>32</v>
      </c>
      <c r="F1131" s="23" t="s">
        <v>567</v>
      </c>
      <c r="G1131" s="182">
        <v>560</v>
      </c>
      <c r="H1131" s="165">
        <f t="shared" si="75"/>
        <v>17920</v>
      </c>
      <c r="I1131" s="66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56"/>
    </row>
    <row r="1132" spans="1:22" x14ac:dyDescent="0.25">
      <c r="A1132" s="25">
        <v>1121</v>
      </c>
      <c r="B1132" s="23"/>
      <c r="C1132" s="14"/>
      <c r="D1132" s="23"/>
      <c r="E1132" s="84"/>
      <c r="F1132" s="23"/>
      <c r="G1132" s="165"/>
      <c r="H1132" s="165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56"/>
    </row>
    <row r="1133" spans="1:22" ht="30" x14ac:dyDescent="0.25">
      <c r="A1133" s="25">
        <v>1122</v>
      </c>
      <c r="B1133" s="89" t="s">
        <v>111</v>
      </c>
      <c r="C1133" s="90" t="s">
        <v>43</v>
      </c>
      <c r="D1133" s="89" t="s">
        <v>27</v>
      </c>
      <c r="E1133" s="89"/>
      <c r="F1133" s="89"/>
      <c r="G1133" s="163"/>
      <c r="H1133" s="167">
        <v>22517</v>
      </c>
      <c r="I1133" s="89" t="s">
        <v>93</v>
      </c>
      <c r="J1133" s="60"/>
      <c r="K1133" s="60"/>
      <c r="L1133" s="60"/>
      <c r="M1133" s="60">
        <v>1</v>
      </c>
      <c r="N1133" s="60"/>
      <c r="O1133" s="60"/>
      <c r="P1133" s="60"/>
      <c r="Q1133" s="60">
        <v>1</v>
      </c>
      <c r="R1133" s="60"/>
      <c r="S1133" s="60"/>
      <c r="T1133" s="60"/>
      <c r="U1133" s="60"/>
      <c r="V1133" s="56"/>
    </row>
    <row r="1134" spans="1:22" x14ac:dyDescent="0.25">
      <c r="A1134" s="25">
        <v>1123</v>
      </c>
      <c r="B1134" s="23"/>
      <c r="C1134" s="11" t="s">
        <v>1003</v>
      </c>
      <c r="D1134" s="23"/>
      <c r="E1134" s="2">
        <v>30</v>
      </c>
      <c r="F1134" s="2" t="s">
        <v>290</v>
      </c>
      <c r="G1134" s="13">
        <v>240</v>
      </c>
      <c r="H1134" s="165">
        <f>G1134*E1134</f>
        <v>7200</v>
      </c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56"/>
    </row>
    <row r="1135" spans="1:22" x14ac:dyDescent="0.25">
      <c r="A1135" s="25">
        <v>1124</v>
      </c>
      <c r="B1135" s="23"/>
      <c r="C1135" s="11" t="s">
        <v>964</v>
      </c>
      <c r="D1135" s="23"/>
      <c r="E1135" s="2">
        <v>5</v>
      </c>
      <c r="F1135" s="2" t="s">
        <v>290</v>
      </c>
      <c r="G1135" s="13">
        <v>1850</v>
      </c>
      <c r="H1135" s="165">
        <f t="shared" ref="H1135:H1140" si="77">G1135*E1135</f>
        <v>9250</v>
      </c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56"/>
    </row>
    <row r="1136" spans="1:22" x14ac:dyDescent="0.25">
      <c r="A1136" s="25">
        <v>1125</v>
      </c>
      <c r="B1136" s="23"/>
      <c r="C1136" s="11" t="s">
        <v>1004</v>
      </c>
      <c r="D1136" s="23"/>
      <c r="E1136" s="2">
        <v>5</v>
      </c>
      <c r="F1136" s="36" t="s">
        <v>567</v>
      </c>
      <c r="G1136" s="13">
        <v>50</v>
      </c>
      <c r="H1136" s="165">
        <f t="shared" si="77"/>
        <v>250</v>
      </c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56"/>
    </row>
    <row r="1137" spans="1:22" x14ac:dyDescent="0.25">
      <c r="A1137" s="25">
        <v>1126</v>
      </c>
      <c r="B1137" s="23"/>
      <c r="C1137" s="11" t="s">
        <v>1005</v>
      </c>
      <c r="D1137" s="23"/>
      <c r="E1137" s="2">
        <v>20</v>
      </c>
      <c r="F1137" s="2" t="s">
        <v>152</v>
      </c>
      <c r="G1137" s="13">
        <v>16</v>
      </c>
      <c r="H1137" s="165">
        <f t="shared" si="77"/>
        <v>320</v>
      </c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56"/>
    </row>
    <row r="1138" spans="1:22" x14ac:dyDescent="0.25">
      <c r="A1138" s="25">
        <v>1127</v>
      </c>
      <c r="B1138" s="23"/>
      <c r="C1138" s="11" t="s">
        <v>756</v>
      </c>
      <c r="D1138" s="23"/>
      <c r="E1138" s="2">
        <v>4</v>
      </c>
      <c r="F1138" s="36" t="s">
        <v>567</v>
      </c>
      <c r="G1138" s="13">
        <v>35.5</v>
      </c>
      <c r="H1138" s="165">
        <f t="shared" si="77"/>
        <v>142</v>
      </c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56"/>
    </row>
    <row r="1139" spans="1:22" x14ac:dyDescent="0.25">
      <c r="A1139" s="25">
        <v>1128</v>
      </c>
      <c r="B1139" s="23"/>
      <c r="C1139" s="11" t="s">
        <v>533</v>
      </c>
      <c r="D1139" s="23"/>
      <c r="E1139" s="2">
        <v>1</v>
      </c>
      <c r="F1139" s="36" t="s">
        <v>567</v>
      </c>
      <c r="G1139" s="13">
        <v>555</v>
      </c>
      <c r="H1139" s="165">
        <f t="shared" si="77"/>
        <v>555</v>
      </c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56"/>
    </row>
    <row r="1140" spans="1:22" x14ac:dyDescent="0.25">
      <c r="A1140" s="25">
        <v>1129</v>
      </c>
      <c r="B1140" s="23"/>
      <c r="C1140" s="11" t="s">
        <v>1006</v>
      </c>
      <c r="D1140" s="23"/>
      <c r="E1140" s="2">
        <v>20</v>
      </c>
      <c r="F1140" s="2" t="s">
        <v>152</v>
      </c>
      <c r="G1140" s="13">
        <v>240</v>
      </c>
      <c r="H1140" s="165">
        <f t="shared" si="77"/>
        <v>4800</v>
      </c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56"/>
    </row>
    <row r="1141" spans="1:22" x14ac:dyDescent="0.25">
      <c r="A1141" s="25">
        <v>1130</v>
      </c>
      <c r="B1141" s="23"/>
      <c r="C1141" s="14"/>
      <c r="D1141" s="23"/>
      <c r="E1141" s="84"/>
      <c r="F1141" s="23"/>
      <c r="G1141" s="165"/>
      <c r="H1141" s="165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56"/>
    </row>
    <row r="1142" spans="1:22" ht="30" x14ac:dyDescent="0.25">
      <c r="A1142" s="25">
        <v>1131</v>
      </c>
      <c r="B1142" s="89" t="s">
        <v>111</v>
      </c>
      <c r="C1142" s="90" t="s">
        <v>114</v>
      </c>
      <c r="D1142" s="89" t="s">
        <v>27</v>
      </c>
      <c r="E1142" s="89"/>
      <c r="F1142" s="89"/>
      <c r="G1142" s="163"/>
      <c r="H1142" s="167">
        <v>18390</v>
      </c>
      <c r="I1142" s="89" t="s">
        <v>93</v>
      </c>
      <c r="J1142" s="60">
        <v>1</v>
      </c>
      <c r="K1142" s="60">
        <v>1</v>
      </c>
      <c r="L1142" s="60"/>
      <c r="M1142" s="60"/>
      <c r="N1142" s="60"/>
      <c r="O1142" s="60"/>
      <c r="P1142" s="60">
        <v>2</v>
      </c>
      <c r="Q1142" s="60">
        <v>1</v>
      </c>
      <c r="R1142" s="60"/>
      <c r="S1142" s="60"/>
      <c r="T1142" s="60"/>
      <c r="U1142" s="60"/>
      <c r="V1142" s="56"/>
    </row>
    <row r="1143" spans="1:22" x14ac:dyDescent="0.25">
      <c r="A1143" s="25">
        <v>1132</v>
      </c>
      <c r="B1143" s="23"/>
      <c r="C1143" s="11" t="s">
        <v>532</v>
      </c>
      <c r="D1143" s="23"/>
      <c r="E1143" s="2">
        <f>3*2</f>
        <v>6</v>
      </c>
      <c r="F1143" s="2" t="s">
        <v>290</v>
      </c>
      <c r="G1143" s="12">
        <v>375</v>
      </c>
      <c r="H1143" s="165">
        <f>G1143*E1143</f>
        <v>2250</v>
      </c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56"/>
    </row>
    <row r="1144" spans="1:22" x14ac:dyDescent="0.25">
      <c r="A1144" s="25">
        <v>1133</v>
      </c>
      <c r="B1144" s="23"/>
      <c r="C1144" s="11" t="s">
        <v>1386</v>
      </c>
      <c r="D1144" s="23"/>
      <c r="E1144" s="2">
        <f>5*2</f>
        <v>10</v>
      </c>
      <c r="F1144" s="23" t="s">
        <v>309</v>
      </c>
      <c r="G1144" s="12">
        <v>151</v>
      </c>
      <c r="H1144" s="165">
        <f t="shared" ref="H1144:H1149" si="78">G1144*E1144</f>
        <v>1510</v>
      </c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56"/>
    </row>
    <row r="1145" spans="1:22" x14ac:dyDescent="0.25">
      <c r="A1145" s="25">
        <v>1134</v>
      </c>
      <c r="B1145" s="23"/>
      <c r="C1145" s="11" t="s">
        <v>1004</v>
      </c>
      <c r="D1145" s="23"/>
      <c r="E1145" s="2">
        <f>5*2</f>
        <v>10</v>
      </c>
      <c r="F1145" s="36" t="s">
        <v>567</v>
      </c>
      <c r="G1145" s="12">
        <v>67</v>
      </c>
      <c r="H1145" s="165">
        <f t="shared" si="78"/>
        <v>670</v>
      </c>
      <c r="I1145" s="72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56"/>
    </row>
    <row r="1146" spans="1:22" x14ac:dyDescent="0.25">
      <c r="A1146" s="25">
        <v>1135</v>
      </c>
      <c r="B1146" s="23"/>
      <c r="C1146" s="11" t="s">
        <v>533</v>
      </c>
      <c r="D1146" s="23"/>
      <c r="E1146" s="2">
        <f>5*2</f>
        <v>10</v>
      </c>
      <c r="F1146" s="36" t="s">
        <v>567</v>
      </c>
      <c r="G1146" s="12">
        <v>280</v>
      </c>
      <c r="H1146" s="165">
        <f t="shared" si="78"/>
        <v>2800</v>
      </c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56"/>
    </row>
    <row r="1147" spans="1:22" x14ac:dyDescent="0.25">
      <c r="A1147" s="25">
        <v>1136</v>
      </c>
      <c r="B1147" s="23"/>
      <c r="C1147" s="11" t="s">
        <v>534</v>
      </c>
      <c r="D1147" s="23"/>
      <c r="E1147" s="2">
        <f>40*2</f>
        <v>80</v>
      </c>
      <c r="F1147" s="2" t="s">
        <v>152</v>
      </c>
      <c r="G1147" s="12">
        <v>82</v>
      </c>
      <c r="H1147" s="165">
        <f t="shared" si="78"/>
        <v>6560</v>
      </c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56"/>
    </row>
    <row r="1148" spans="1:22" x14ac:dyDescent="0.25">
      <c r="A1148" s="25">
        <v>1137</v>
      </c>
      <c r="B1148" s="23"/>
      <c r="C1148" s="11" t="s">
        <v>1387</v>
      </c>
      <c r="D1148" s="23"/>
      <c r="E1148" s="2">
        <f>50*2</f>
        <v>100</v>
      </c>
      <c r="F1148" s="2" t="s">
        <v>152</v>
      </c>
      <c r="G1148" s="12">
        <v>24</v>
      </c>
      <c r="H1148" s="165">
        <f t="shared" si="78"/>
        <v>2400</v>
      </c>
      <c r="I1148" s="72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56"/>
    </row>
    <row r="1149" spans="1:22" x14ac:dyDescent="0.25">
      <c r="A1149" s="25">
        <v>1138</v>
      </c>
      <c r="B1149" s="23"/>
      <c r="C1149" s="11" t="s">
        <v>1388</v>
      </c>
      <c r="D1149" s="23"/>
      <c r="E1149" s="2">
        <f>50*2</f>
        <v>100</v>
      </c>
      <c r="F1149" s="2" t="s">
        <v>152</v>
      </c>
      <c r="G1149" s="12">
        <v>22</v>
      </c>
      <c r="H1149" s="165">
        <f t="shared" si="78"/>
        <v>2200</v>
      </c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56"/>
    </row>
    <row r="1150" spans="1:22" x14ac:dyDescent="0.25">
      <c r="A1150" s="25">
        <v>1139</v>
      </c>
      <c r="B1150" s="23"/>
      <c r="C1150" s="14"/>
      <c r="D1150" s="23"/>
      <c r="E1150" s="84"/>
      <c r="F1150" s="23"/>
      <c r="G1150" s="165"/>
      <c r="H1150" s="165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56"/>
    </row>
    <row r="1151" spans="1:22" ht="30" x14ac:dyDescent="0.25">
      <c r="A1151" s="25">
        <v>1140</v>
      </c>
      <c r="B1151" s="89" t="s">
        <v>111</v>
      </c>
      <c r="C1151" s="90" t="s">
        <v>72</v>
      </c>
      <c r="D1151" s="89" t="s">
        <v>27</v>
      </c>
      <c r="E1151" s="89"/>
      <c r="F1151" s="89"/>
      <c r="G1151" s="163"/>
      <c r="H1151" s="167">
        <v>1520277.39</v>
      </c>
      <c r="I1151" s="89" t="s">
        <v>93</v>
      </c>
      <c r="J1151" s="60"/>
      <c r="K1151" s="60"/>
      <c r="L1151" s="60"/>
      <c r="M1151" s="60">
        <v>2</v>
      </c>
      <c r="N1151" s="60"/>
      <c r="O1151" s="60"/>
      <c r="P1151" s="60">
        <v>4</v>
      </c>
      <c r="Q1151" s="60"/>
      <c r="R1151" s="60"/>
      <c r="S1151" s="60"/>
      <c r="T1151" s="60"/>
      <c r="U1151" s="60"/>
      <c r="V1151" s="56"/>
    </row>
    <row r="1152" spans="1:22" x14ac:dyDescent="0.25">
      <c r="A1152" s="25">
        <v>1141</v>
      </c>
      <c r="B1152" s="23"/>
      <c r="C1152" s="14" t="s">
        <v>1322</v>
      </c>
      <c r="D1152" s="23"/>
      <c r="E1152" s="84"/>
      <c r="F1152" s="23"/>
      <c r="G1152" s="165"/>
      <c r="H1152" s="165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56"/>
    </row>
    <row r="1153" spans="1:22" x14ac:dyDescent="0.25">
      <c r="A1153" s="25">
        <v>1142</v>
      </c>
      <c r="B1153" s="23"/>
      <c r="C1153" s="6" t="s">
        <v>797</v>
      </c>
      <c r="D1153" s="1"/>
      <c r="E1153" s="7">
        <v>1609</v>
      </c>
      <c r="F1153" s="7" t="s">
        <v>37</v>
      </c>
      <c r="G1153" s="187">
        <v>6</v>
      </c>
      <c r="H1153" s="165">
        <f>G1153*E1153</f>
        <v>9654</v>
      </c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56"/>
    </row>
    <row r="1154" spans="1:22" x14ac:dyDescent="0.25">
      <c r="A1154" s="25">
        <v>1143</v>
      </c>
      <c r="B1154" s="23"/>
      <c r="C1154" s="6" t="s">
        <v>783</v>
      </c>
      <c r="D1154" s="1"/>
      <c r="E1154" s="7">
        <v>1609</v>
      </c>
      <c r="F1154" s="7" t="s">
        <v>37</v>
      </c>
      <c r="G1154" s="187">
        <v>16</v>
      </c>
      <c r="H1154" s="165">
        <f t="shared" ref="H1154:H1157" si="79">G1154*E1154</f>
        <v>25744</v>
      </c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56"/>
    </row>
    <row r="1155" spans="1:22" x14ac:dyDescent="0.25">
      <c r="A1155" s="25">
        <v>1144</v>
      </c>
      <c r="B1155" s="23"/>
      <c r="C1155" s="6" t="s">
        <v>1310</v>
      </c>
      <c r="D1155" s="1"/>
      <c r="E1155" s="7">
        <v>1609</v>
      </c>
      <c r="F1155" s="7" t="s">
        <v>37</v>
      </c>
      <c r="G1155" s="187">
        <v>1</v>
      </c>
      <c r="H1155" s="165">
        <f t="shared" si="79"/>
        <v>1609</v>
      </c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56"/>
    </row>
    <row r="1156" spans="1:22" x14ac:dyDescent="0.25">
      <c r="A1156" s="25">
        <v>1145</v>
      </c>
      <c r="B1156" s="23"/>
      <c r="C1156" s="6" t="s">
        <v>1313</v>
      </c>
      <c r="D1156" s="1"/>
      <c r="E1156" s="7">
        <v>1609</v>
      </c>
      <c r="F1156" s="7" t="s">
        <v>37</v>
      </c>
      <c r="G1156" s="187">
        <v>0.54</v>
      </c>
      <c r="H1156" s="165">
        <f t="shared" si="79"/>
        <v>868.86</v>
      </c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56"/>
    </row>
    <row r="1157" spans="1:22" x14ac:dyDescent="0.25">
      <c r="A1157" s="25">
        <v>1146</v>
      </c>
      <c r="B1157" s="23"/>
      <c r="C1157" s="6" t="s">
        <v>1312</v>
      </c>
      <c r="D1157" s="1"/>
      <c r="E1157" s="7">
        <v>1609</v>
      </c>
      <c r="F1157" s="7" t="s">
        <v>37</v>
      </c>
      <c r="G1157" s="187">
        <v>12.95</v>
      </c>
      <c r="H1157" s="165">
        <f t="shared" si="79"/>
        <v>20836.55</v>
      </c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56"/>
    </row>
    <row r="1158" spans="1:22" x14ac:dyDescent="0.25">
      <c r="A1158" s="25">
        <v>1147</v>
      </c>
      <c r="B1158" s="23"/>
      <c r="C1158" s="6" t="s">
        <v>1311</v>
      </c>
      <c r="D1158" s="1"/>
      <c r="E1158" s="7">
        <v>1609</v>
      </c>
      <c r="F1158" s="7" t="s">
        <v>37</v>
      </c>
      <c r="G1158" s="187">
        <v>5</v>
      </c>
      <c r="H1158" s="165">
        <f>G1158*E1158</f>
        <v>8045</v>
      </c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56"/>
    </row>
    <row r="1159" spans="1:22" x14ac:dyDescent="0.25">
      <c r="A1159" s="25">
        <v>1148</v>
      </c>
      <c r="B1159" s="23"/>
      <c r="C1159" s="14" t="s">
        <v>1321</v>
      </c>
      <c r="D1159" s="1"/>
      <c r="E1159" s="7"/>
      <c r="F1159" s="7"/>
      <c r="G1159" s="18"/>
      <c r="H1159" s="165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56"/>
    </row>
    <row r="1160" spans="1:22" x14ac:dyDescent="0.25">
      <c r="A1160" s="25">
        <v>1149</v>
      </c>
      <c r="B1160" s="23"/>
      <c r="C1160" s="6" t="s">
        <v>796</v>
      </c>
      <c r="D1160" s="1"/>
      <c r="E1160" s="7">
        <v>1120</v>
      </c>
      <c r="F1160" s="7" t="s">
        <v>37</v>
      </c>
      <c r="G1160" s="18">
        <v>280</v>
      </c>
      <c r="H1160" s="165">
        <f>G1160*E1160</f>
        <v>313600</v>
      </c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56"/>
    </row>
    <row r="1161" spans="1:22" x14ac:dyDescent="0.25">
      <c r="A1161" s="25">
        <v>1150</v>
      </c>
      <c r="B1161" s="23"/>
      <c r="C1161" s="6" t="s">
        <v>786</v>
      </c>
      <c r="D1161" s="1"/>
      <c r="E1161" s="7">
        <v>1120</v>
      </c>
      <c r="F1161" s="7" t="s">
        <v>37</v>
      </c>
      <c r="G1161" s="18">
        <v>20</v>
      </c>
      <c r="H1161" s="165">
        <f t="shared" ref="H1161:H1163" si="80">G1161*E1161</f>
        <v>22400</v>
      </c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56"/>
    </row>
    <row r="1162" spans="1:22" x14ac:dyDescent="0.25">
      <c r="A1162" s="25">
        <v>1151</v>
      </c>
      <c r="B1162" s="23"/>
      <c r="C1162" s="6" t="s">
        <v>383</v>
      </c>
      <c r="D1162" s="1"/>
      <c r="E1162" s="7">
        <v>1120</v>
      </c>
      <c r="F1162" s="7" t="s">
        <v>37</v>
      </c>
      <c r="G1162" s="18">
        <v>20</v>
      </c>
      <c r="H1162" s="165">
        <f t="shared" si="80"/>
        <v>22400</v>
      </c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56"/>
    </row>
    <row r="1163" spans="1:22" x14ac:dyDescent="0.25">
      <c r="A1163" s="25">
        <v>1152</v>
      </c>
      <c r="B1163" s="23"/>
      <c r="C1163" s="6" t="s">
        <v>1314</v>
      </c>
      <c r="D1163" s="1"/>
      <c r="E1163" s="7">
        <v>1120</v>
      </c>
      <c r="F1163" s="7" t="s">
        <v>128</v>
      </c>
      <c r="G1163" s="18">
        <v>590</v>
      </c>
      <c r="H1163" s="165">
        <f t="shared" si="80"/>
        <v>660800</v>
      </c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56"/>
    </row>
    <row r="1164" spans="1:22" x14ac:dyDescent="0.25">
      <c r="A1164" s="25">
        <v>1153</v>
      </c>
      <c r="B1164" s="23"/>
      <c r="C1164" s="14" t="s">
        <v>1320</v>
      </c>
      <c r="D1164" s="1"/>
      <c r="E1164" s="7"/>
      <c r="F1164" s="7"/>
      <c r="G1164" s="18"/>
      <c r="H1164" s="165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56"/>
    </row>
    <row r="1165" spans="1:22" x14ac:dyDescent="0.25">
      <c r="A1165" s="25">
        <v>1154</v>
      </c>
      <c r="B1165" s="23"/>
      <c r="C1165" s="11" t="s">
        <v>278</v>
      </c>
      <c r="D1165" s="1"/>
      <c r="E1165" s="2">
        <f>90*7</f>
        <v>630</v>
      </c>
      <c r="F1165" s="2" t="s">
        <v>152</v>
      </c>
      <c r="G1165" s="118">
        <v>11.5</v>
      </c>
      <c r="H1165" s="165">
        <f>G1165*E1165</f>
        <v>7245</v>
      </c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56"/>
    </row>
    <row r="1166" spans="1:22" x14ac:dyDescent="0.25">
      <c r="A1166" s="25">
        <v>1155</v>
      </c>
      <c r="B1166" s="23"/>
      <c r="C1166" s="11" t="s">
        <v>276</v>
      </c>
      <c r="D1166" s="1"/>
      <c r="E1166" s="2">
        <f t="shared" ref="E1166:E1167" si="81">90*7</f>
        <v>630</v>
      </c>
      <c r="F1166" s="2" t="s">
        <v>152</v>
      </c>
      <c r="G1166" s="117">
        <v>25</v>
      </c>
      <c r="H1166" s="165">
        <f t="shared" ref="H1166:H1174" si="82">G1166*E1166</f>
        <v>15750</v>
      </c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56"/>
    </row>
    <row r="1167" spans="1:22" x14ac:dyDescent="0.25">
      <c r="A1167" s="25">
        <v>1156</v>
      </c>
      <c r="B1167" s="23"/>
      <c r="C1167" s="11" t="s">
        <v>1315</v>
      </c>
      <c r="D1167" s="1"/>
      <c r="E1167" s="2">
        <f t="shared" si="81"/>
        <v>630</v>
      </c>
      <c r="F1167" s="2" t="s">
        <v>310</v>
      </c>
      <c r="G1167" s="118">
        <v>45</v>
      </c>
      <c r="H1167" s="165">
        <f t="shared" si="82"/>
        <v>28350</v>
      </c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56"/>
    </row>
    <row r="1168" spans="1:22" x14ac:dyDescent="0.25">
      <c r="A1168" s="25">
        <v>1157</v>
      </c>
      <c r="B1168" s="23"/>
      <c r="C1168" s="11" t="s">
        <v>1316</v>
      </c>
      <c r="D1168" s="1"/>
      <c r="E1168" s="2">
        <f>89*7</f>
        <v>623</v>
      </c>
      <c r="F1168" s="2" t="s">
        <v>152</v>
      </c>
      <c r="G1168" s="118">
        <v>10</v>
      </c>
      <c r="H1168" s="165">
        <f t="shared" si="82"/>
        <v>6230</v>
      </c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56"/>
    </row>
    <row r="1169" spans="1:22" x14ac:dyDescent="0.25">
      <c r="A1169" s="25">
        <v>1158</v>
      </c>
      <c r="B1169" s="23"/>
      <c r="C1169" s="11" t="s">
        <v>1317</v>
      </c>
      <c r="D1169" s="1"/>
      <c r="E1169" s="2">
        <f>90*7</f>
        <v>630</v>
      </c>
      <c r="F1169" s="2" t="s">
        <v>152</v>
      </c>
      <c r="G1169" s="118">
        <v>10</v>
      </c>
      <c r="H1169" s="165">
        <f t="shared" si="82"/>
        <v>6300</v>
      </c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56"/>
    </row>
    <row r="1170" spans="1:22" x14ac:dyDescent="0.25">
      <c r="A1170" s="25">
        <v>1159</v>
      </c>
      <c r="B1170" s="23"/>
      <c r="C1170" s="11" t="s">
        <v>375</v>
      </c>
      <c r="D1170" s="1"/>
      <c r="E1170" s="2">
        <f>36*7</f>
        <v>252</v>
      </c>
      <c r="F1170" s="2" t="s">
        <v>1318</v>
      </c>
      <c r="G1170" s="118">
        <v>350</v>
      </c>
      <c r="H1170" s="165">
        <f t="shared" si="82"/>
        <v>88200</v>
      </c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56"/>
    </row>
    <row r="1171" spans="1:22" x14ac:dyDescent="0.25">
      <c r="A1171" s="25">
        <v>1160</v>
      </c>
      <c r="B1171" s="23"/>
      <c r="C1171" s="11" t="s">
        <v>376</v>
      </c>
      <c r="D1171" s="1"/>
      <c r="E1171" s="2">
        <f>36*7</f>
        <v>252</v>
      </c>
      <c r="F1171" s="2" t="s">
        <v>1318</v>
      </c>
      <c r="G1171" s="118">
        <v>350</v>
      </c>
      <c r="H1171" s="165">
        <f t="shared" si="82"/>
        <v>88200</v>
      </c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56"/>
    </row>
    <row r="1172" spans="1:22" x14ac:dyDescent="0.25">
      <c r="A1172" s="25">
        <v>1161</v>
      </c>
      <c r="B1172" s="23"/>
      <c r="C1172" s="11" t="s">
        <v>1022</v>
      </c>
      <c r="D1172" s="1"/>
      <c r="E1172" s="2">
        <f>90*7</f>
        <v>630</v>
      </c>
      <c r="F1172" s="2" t="s">
        <v>152</v>
      </c>
      <c r="G1172" s="118">
        <v>25</v>
      </c>
      <c r="H1172" s="165">
        <f t="shared" si="82"/>
        <v>15750</v>
      </c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56"/>
    </row>
    <row r="1173" spans="1:22" x14ac:dyDescent="0.25">
      <c r="A1173" s="25">
        <v>1162</v>
      </c>
      <c r="B1173" s="23"/>
      <c r="C1173" s="11" t="s">
        <v>393</v>
      </c>
      <c r="D1173" s="1"/>
      <c r="E1173" s="2">
        <f>180*6</f>
        <v>1080</v>
      </c>
      <c r="F1173" s="2" t="s">
        <v>152</v>
      </c>
      <c r="G1173" s="118">
        <v>25</v>
      </c>
      <c r="H1173" s="165">
        <f t="shared" si="82"/>
        <v>27000</v>
      </c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56"/>
    </row>
    <row r="1174" spans="1:22" x14ac:dyDescent="0.25">
      <c r="A1174" s="25">
        <v>1163</v>
      </c>
      <c r="B1174" s="23"/>
      <c r="C1174" s="11" t="s">
        <v>1319</v>
      </c>
      <c r="D1174" s="1"/>
      <c r="E1174" s="2">
        <f>20*6</f>
        <v>120</v>
      </c>
      <c r="F1174" s="23" t="s">
        <v>567</v>
      </c>
      <c r="G1174" s="118">
        <v>50</v>
      </c>
      <c r="H1174" s="165">
        <f t="shared" si="82"/>
        <v>6000</v>
      </c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56"/>
    </row>
    <row r="1175" spans="1:22" x14ac:dyDescent="0.25">
      <c r="A1175" s="25">
        <v>1164</v>
      </c>
      <c r="B1175" s="23"/>
      <c r="C1175" s="11" t="s">
        <v>1323</v>
      </c>
      <c r="D1175" s="1"/>
      <c r="E1175" s="2"/>
      <c r="F1175" s="2"/>
      <c r="G1175" s="118"/>
      <c r="H1175" s="165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56"/>
    </row>
    <row r="1176" spans="1:22" x14ac:dyDescent="0.25">
      <c r="A1176" s="25">
        <v>1165</v>
      </c>
      <c r="B1176" s="23"/>
      <c r="C1176" s="11" t="s">
        <v>786</v>
      </c>
      <c r="D1176" s="23"/>
      <c r="E1176" s="2">
        <f>10*4</f>
        <v>40</v>
      </c>
      <c r="F1176" s="23" t="s">
        <v>567</v>
      </c>
      <c r="G1176" s="118">
        <v>1249.75</v>
      </c>
      <c r="H1176" s="165">
        <f>G1176*E1176</f>
        <v>49990</v>
      </c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56"/>
    </row>
    <row r="1177" spans="1:22" x14ac:dyDescent="0.25">
      <c r="A1177" s="25">
        <v>1166</v>
      </c>
      <c r="B1177" s="23"/>
      <c r="C1177" s="11" t="s">
        <v>383</v>
      </c>
      <c r="D1177" s="23"/>
      <c r="E1177" s="2">
        <f>14*3</f>
        <v>42</v>
      </c>
      <c r="F1177" s="23" t="s">
        <v>567</v>
      </c>
      <c r="G1177" s="118">
        <v>150</v>
      </c>
      <c r="H1177" s="165">
        <f t="shared" ref="H1177:H1186" si="83">G1177*E1177</f>
        <v>6300</v>
      </c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56"/>
    </row>
    <row r="1178" spans="1:22" x14ac:dyDescent="0.25">
      <c r="A1178" s="25">
        <v>1167</v>
      </c>
      <c r="B1178" s="23"/>
      <c r="C1178" s="11" t="s">
        <v>922</v>
      </c>
      <c r="D1178" s="23"/>
      <c r="E1178" s="2">
        <f>10*3</f>
        <v>30</v>
      </c>
      <c r="F1178" s="23" t="s">
        <v>567</v>
      </c>
      <c r="G1178" s="118">
        <v>320</v>
      </c>
      <c r="H1178" s="165">
        <f t="shared" si="83"/>
        <v>9600</v>
      </c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56"/>
    </row>
    <row r="1179" spans="1:22" x14ac:dyDescent="0.25">
      <c r="A1179" s="25">
        <v>1168</v>
      </c>
      <c r="B1179" s="23"/>
      <c r="C1179" s="11" t="s">
        <v>774</v>
      </c>
      <c r="D1179" s="23"/>
      <c r="E1179" s="2">
        <f>10*3</f>
        <v>30</v>
      </c>
      <c r="F1179" s="23" t="s">
        <v>567</v>
      </c>
      <c r="G1179" s="118">
        <v>320</v>
      </c>
      <c r="H1179" s="165">
        <f t="shared" si="83"/>
        <v>9600</v>
      </c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56"/>
    </row>
    <row r="1180" spans="1:22" x14ac:dyDescent="0.25">
      <c r="A1180" s="25">
        <v>1169</v>
      </c>
      <c r="B1180" s="23"/>
      <c r="C1180" s="11" t="s">
        <v>788</v>
      </c>
      <c r="D1180" s="23"/>
      <c r="E1180" s="2">
        <f>8*3</f>
        <v>24</v>
      </c>
      <c r="F1180" s="23" t="s">
        <v>567</v>
      </c>
      <c r="G1180" s="118">
        <v>191.66583</v>
      </c>
      <c r="H1180" s="165">
        <f t="shared" si="83"/>
        <v>4599.9799199999998</v>
      </c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56"/>
    </row>
    <row r="1181" spans="1:22" x14ac:dyDescent="0.25">
      <c r="A1181" s="25">
        <v>1170</v>
      </c>
      <c r="B1181" s="23"/>
      <c r="C1181" s="11" t="s">
        <v>756</v>
      </c>
      <c r="D1181" s="23"/>
      <c r="E1181" s="2">
        <f>8*3</f>
        <v>24</v>
      </c>
      <c r="F1181" s="23" t="s">
        <v>567</v>
      </c>
      <c r="G1181" s="118">
        <v>110</v>
      </c>
      <c r="H1181" s="165">
        <f t="shared" si="83"/>
        <v>2640</v>
      </c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56"/>
    </row>
    <row r="1182" spans="1:22" x14ac:dyDescent="0.25">
      <c r="A1182" s="25">
        <v>1171</v>
      </c>
      <c r="B1182" s="23"/>
      <c r="C1182" s="11" t="s">
        <v>776</v>
      </c>
      <c r="D1182" s="23"/>
      <c r="E1182" s="2">
        <f>8*3</f>
        <v>24</v>
      </c>
      <c r="F1182" s="23" t="s">
        <v>567</v>
      </c>
      <c r="G1182" s="118">
        <v>205</v>
      </c>
      <c r="H1182" s="165">
        <f t="shared" si="83"/>
        <v>4920</v>
      </c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56"/>
    </row>
    <row r="1183" spans="1:22" x14ac:dyDescent="0.25">
      <c r="A1183" s="25">
        <v>1172</v>
      </c>
      <c r="B1183" s="23"/>
      <c r="C1183" s="11" t="s">
        <v>490</v>
      </c>
      <c r="D1183" s="23"/>
      <c r="E1183" s="2">
        <f>11*3</f>
        <v>33</v>
      </c>
      <c r="F1183" s="23" t="s">
        <v>567</v>
      </c>
      <c r="G1183" s="118">
        <v>800</v>
      </c>
      <c r="H1183" s="165">
        <f t="shared" si="83"/>
        <v>26400</v>
      </c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56"/>
    </row>
    <row r="1184" spans="1:22" x14ac:dyDescent="0.25">
      <c r="A1184" s="25">
        <v>1173</v>
      </c>
      <c r="B1184" s="23"/>
      <c r="C1184" s="11" t="s">
        <v>491</v>
      </c>
      <c r="D1184" s="1"/>
      <c r="E1184" s="2">
        <f>11*3</f>
        <v>33</v>
      </c>
      <c r="F1184" s="23" t="s">
        <v>567</v>
      </c>
      <c r="G1184" s="118">
        <v>800</v>
      </c>
      <c r="H1184" s="165">
        <f t="shared" si="83"/>
        <v>26400</v>
      </c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56"/>
    </row>
    <row r="1185" spans="1:22" x14ac:dyDescent="0.25">
      <c r="A1185" s="25">
        <v>1174</v>
      </c>
      <c r="B1185" s="23"/>
      <c r="C1185" s="11" t="s">
        <v>789</v>
      </c>
      <c r="D1185" s="1"/>
      <c r="E1185" s="2">
        <f>9*3</f>
        <v>27</v>
      </c>
      <c r="F1185" s="2" t="s">
        <v>152</v>
      </c>
      <c r="G1185" s="118">
        <v>85</v>
      </c>
      <c r="H1185" s="165">
        <f t="shared" si="83"/>
        <v>2295</v>
      </c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56"/>
    </row>
    <row r="1186" spans="1:22" x14ac:dyDescent="0.25">
      <c r="A1186" s="25">
        <v>1175</v>
      </c>
      <c r="B1186" s="23"/>
      <c r="C1186" s="11" t="s">
        <v>792</v>
      </c>
      <c r="D1186" s="1"/>
      <c r="E1186" s="2">
        <f>10*3</f>
        <v>30</v>
      </c>
      <c r="F1186" s="23" t="s">
        <v>567</v>
      </c>
      <c r="G1186" s="118">
        <v>85</v>
      </c>
      <c r="H1186" s="165">
        <f t="shared" si="83"/>
        <v>2550</v>
      </c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56"/>
    </row>
    <row r="1187" spans="1:22" x14ac:dyDescent="0.25">
      <c r="A1187" s="25">
        <v>1176</v>
      </c>
      <c r="B1187" s="23"/>
      <c r="C1187" s="14"/>
      <c r="D1187" s="23"/>
      <c r="E1187" s="84"/>
      <c r="F1187" s="23"/>
      <c r="G1187" s="165"/>
      <c r="H1187" s="165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56"/>
    </row>
    <row r="1188" spans="1:22" ht="30" x14ac:dyDescent="0.25">
      <c r="A1188" s="25">
        <v>1177</v>
      </c>
      <c r="B1188" s="89" t="s">
        <v>111</v>
      </c>
      <c r="C1188" s="90" t="s">
        <v>38</v>
      </c>
      <c r="D1188" s="89" t="s">
        <v>27</v>
      </c>
      <c r="E1188" s="89"/>
      <c r="F1188" s="89"/>
      <c r="G1188" s="163"/>
      <c r="H1188" s="167">
        <v>55644</v>
      </c>
      <c r="I1188" s="89" t="s">
        <v>93</v>
      </c>
      <c r="J1188" s="60"/>
      <c r="K1188" s="60"/>
      <c r="L1188" s="60"/>
      <c r="M1188" s="60">
        <v>1</v>
      </c>
      <c r="N1188" s="60"/>
      <c r="O1188" s="60"/>
      <c r="P1188" s="60"/>
      <c r="Q1188" s="60"/>
      <c r="R1188" s="60"/>
      <c r="S1188" s="60"/>
      <c r="T1188" s="60"/>
      <c r="U1188" s="60"/>
      <c r="V1188" s="56"/>
    </row>
    <row r="1189" spans="1:22" ht="14.25" customHeight="1" x14ac:dyDescent="0.25">
      <c r="A1189" s="25">
        <v>1178</v>
      </c>
      <c r="B1189" s="23"/>
      <c r="C1189" s="11" t="s">
        <v>786</v>
      </c>
      <c r="D1189" s="23"/>
      <c r="E1189" s="2">
        <v>25</v>
      </c>
      <c r="F1189" s="23" t="s">
        <v>567</v>
      </c>
      <c r="G1189" s="24">
        <v>1300</v>
      </c>
      <c r="H1189" s="165">
        <f>G1189*E1189</f>
        <v>32500</v>
      </c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56"/>
    </row>
    <row r="1190" spans="1:22" ht="14.25" customHeight="1" x14ac:dyDescent="0.25">
      <c r="A1190" s="25">
        <v>1179</v>
      </c>
      <c r="B1190" s="23"/>
      <c r="C1190" s="11" t="s">
        <v>383</v>
      </c>
      <c r="D1190" s="23"/>
      <c r="E1190" s="2">
        <v>10</v>
      </c>
      <c r="F1190" s="23" t="s">
        <v>567</v>
      </c>
      <c r="G1190" s="24">
        <v>150</v>
      </c>
      <c r="H1190" s="165">
        <f t="shared" ref="H1190:H1203" si="84">G1190*E1190</f>
        <v>1500</v>
      </c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56"/>
    </row>
    <row r="1191" spans="1:22" ht="14.25" customHeight="1" x14ac:dyDescent="0.25">
      <c r="A1191" s="25">
        <v>1180</v>
      </c>
      <c r="B1191" s="23"/>
      <c r="C1191" s="11" t="s">
        <v>774</v>
      </c>
      <c r="D1191" s="23"/>
      <c r="E1191" s="2">
        <v>10</v>
      </c>
      <c r="F1191" s="23" t="s">
        <v>567</v>
      </c>
      <c r="G1191" s="24">
        <v>320</v>
      </c>
      <c r="H1191" s="165">
        <f t="shared" si="84"/>
        <v>3200</v>
      </c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56"/>
    </row>
    <row r="1192" spans="1:22" ht="14.25" customHeight="1" x14ac:dyDescent="0.25">
      <c r="A1192" s="25">
        <v>1181</v>
      </c>
      <c r="B1192" s="23"/>
      <c r="C1192" s="11" t="s">
        <v>787</v>
      </c>
      <c r="D1192" s="23"/>
      <c r="E1192" s="2">
        <v>10</v>
      </c>
      <c r="F1192" s="23" t="s">
        <v>567</v>
      </c>
      <c r="G1192" s="24">
        <v>88</v>
      </c>
      <c r="H1192" s="165">
        <f t="shared" si="84"/>
        <v>880</v>
      </c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56"/>
    </row>
    <row r="1193" spans="1:22" ht="14.25" customHeight="1" x14ac:dyDescent="0.25">
      <c r="A1193" s="25">
        <v>1182</v>
      </c>
      <c r="B1193" s="23"/>
      <c r="C1193" s="11" t="s">
        <v>788</v>
      </c>
      <c r="D1193" s="23"/>
      <c r="E1193" s="2">
        <v>3</v>
      </c>
      <c r="F1193" s="23" t="s">
        <v>567</v>
      </c>
      <c r="G1193" s="24">
        <v>215</v>
      </c>
      <c r="H1193" s="165">
        <f t="shared" si="84"/>
        <v>645</v>
      </c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56"/>
    </row>
    <row r="1194" spans="1:22" ht="14.25" customHeight="1" x14ac:dyDescent="0.25">
      <c r="A1194" s="25">
        <v>1183</v>
      </c>
      <c r="B1194" s="23"/>
      <c r="C1194" s="11" t="s">
        <v>756</v>
      </c>
      <c r="D1194" s="23"/>
      <c r="E1194" s="2">
        <v>7</v>
      </c>
      <c r="F1194" s="23" t="s">
        <v>567</v>
      </c>
      <c r="G1194" s="24">
        <v>115</v>
      </c>
      <c r="H1194" s="165">
        <f t="shared" si="84"/>
        <v>805</v>
      </c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56"/>
    </row>
    <row r="1195" spans="1:22" ht="14.25" customHeight="1" x14ac:dyDescent="0.25">
      <c r="A1195" s="25">
        <v>1184</v>
      </c>
      <c r="B1195" s="23"/>
      <c r="C1195" s="11" t="s">
        <v>776</v>
      </c>
      <c r="D1195" s="23"/>
      <c r="E1195" s="2">
        <v>3</v>
      </c>
      <c r="F1195" s="23" t="s">
        <v>567</v>
      </c>
      <c r="G1195" s="24">
        <v>285</v>
      </c>
      <c r="H1195" s="165">
        <f t="shared" si="84"/>
        <v>855</v>
      </c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56"/>
    </row>
    <row r="1196" spans="1:22" ht="14.25" customHeight="1" x14ac:dyDescent="0.25">
      <c r="A1196" s="25">
        <v>1185</v>
      </c>
      <c r="B1196" s="23"/>
      <c r="C1196" s="11" t="s">
        <v>789</v>
      </c>
      <c r="D1196" s="23"/>
      <c r="E1196" s="2">
        <v>8</v>
      </c>
      <c r="F1196" s="2" t="s">
        <v>152</v>
      </c>
      <c r="G1196" s="24">
        <v>125</v>
      </c>
      <c r="H1196" s="165">
        <f t="shared" si="84"/>
        <v>1000</v>
      </c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56"/>
    </row>
    <row r="1197" spans="1:22" ht="14.25" customHeight="1" x14ac:dyDescent="0.25">
      <c r="A1197" s="25">
        <v>1186</v>
      </c>
      <c r="B1197" s="23"/>
      <c r="C1197" s="11" t="s">
        <v>790</v>
      </c>
      <c r="D1197" s="23"/>
      <c r="E1197" s="2">
        <v>8</v>
      </c>
      <c r="F1197" s="2" t="s">
        <v>152</v>
      </c>
      <c r="G1197" s="24">
        <v>185</v>
      </c>
      <c r="H1197" s="165">
        <f t="shared" si="84"/>
        <v>1480</v>
      </c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56"/>
    </row>
    <row r="1198" spans="1:22" ht="14.25" customHeight="1" x14ac:dyDescent="0.25">
      <c r="A1198" s="25">
        <v>1187</v>
      </c>
      <c r="B1198" s="23"/>
      <c r="C1198" s="11" t="s">
        <v>791</v>
      </c>
      <c r="D1198" s="23"/>
      <c r="E1198" s="2">
        <v>8</v>
      </c>
      <c r="F1198" s="23" t="s">
        <v>567</v>
      </c>
      <c r="G1198" s="24">
        <v>375</v>
      </c>
      <c r="H1198" s="165">
        <f t="shared" si="84"/>
        <v>3000</v>
      </c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56"/>
    </row>
    <row r="1199" spans="1:22" ht="14.25" customHeight="1" x14ac:dyDescent="0.25">
      <c r="A1199" s="25">
        <v>1188</v>
      </c>
      <c r="B1199" s="23"/>
      <c r="C1199" s="11" t="s">
        <v>792</v>
      </c>
      <c r="D1199" s="23"/>
      <c r="E1199" s="2">
        <v>8</v>
      </c>
      <c r="F1199" s="23" t="s">
        <v>567</v>
      </c>
      <c r="G1199" s="24">
        <v>65</v>
      </c>
      <c r="H1199" s="165">
        <f t="shared" si="84"/>
        <v>520</v>
      </c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56"/>
    </row>
    <row r="1200" spans="1:22" ht="14.25" customHeight="1" x14ac:dyDescent="0.25">
      <c r="A1200" s="25">
        <v>1189</v>
      </c>
      <c r="B1200" s="23"/>
      <c r="C1200" s="11" t="s">
        <v>793</v>
      </c>
      <c r="D1200" s="23"/>
      <c r="E1200" s="2">
        <v>3</v>
      </c>
      <c r="F1200" s="2" t="s">
        <v>152</v>
      </c>
      <c r="G1200" s="24">
        <v>133</v>
      </c>
      <c r="H1200" s="165">
        <f t="shared" si="84"/>
        <v>399</v>
      </c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56"/>
    </row>
    <row r="1201" spans="1:22" ht="14.25" customHeight="1" x14ac:dyDescent="0.25">
      <c r="A1201" s="25">
        <v>1190</v>
      </c>
      <c r="B1201" s="23"/>
      <c r="C1201" s="11" t="s">
        <v>794</v>
      </c>
      <c r="D1201" s="23"/>
      <c r="E1201" s="2">
        <v>3</v>
      </c>
      <c r="F1201" s="23" t="s">
        <v>567</v>
      </c>
      <c r="G1201" s="24">
        <v>670</v>
      </c>
      <c r="H1201" s="165">
        <f t="shared" si="84"/>
        <v>2010</v>
      </c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56"/>
    </row>
    <row r="1202" spans="1:22" ht="14.25" customHeight="1" x14ac:dyDescent="0.25">
      <c r="A1202" s="25">
        <v>1191</v>
      </c>
      <c r="B1202" s="23"/>
      <c r="C1202" s="11" t="s">
        <v>385</v>
      </c>
      <c r="D1202" s="23"/>
      <c r="E1202" s="2">
        <v>5</v>
      </c>
      <c r="F1202" s="2" t="s">
        <v>152</v>
      </c>
      <c r="G1202" s="24">
        <v>955</v>
      </c>
      <c r="H1202" s="165">
        <f t="shared" si="84"/>
        <v>4775</v>
      </c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56"/>
    </row>
    <row r="1203" spans="1:22" ht="14.25" customHeight="1" x14ac:dyDescent="0.25">
      <c r="A1203" s="25">
        <v>1192</v>
      </c>
      <c r="B1203" s="23"/>
      <c r="C1203" s="11" t="s">
        <v>795</v>
      </c>
      <c r="D1203" s="23"/>
      <c r="E1203" s="2">
        <v>5</v>
      </c>
      <c r="F1203" s="23" t="s">
        <v>567</v>
      </c>
      <c r="G1203" s="24">
        <v>415</v>
      </c>
      <c r="H1203" s="165">
        <f t="shared" si="84"/>
        <v>2075</v>
      </c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56"/>
    </row>
    <row r="1204" spans="1:22" ht="14.25" customHeight="1" x14ac:dyDescent="0.25">
      <c r="A1204" s="25">
        <v>1193</v>
      </c>
      <c r="B1204" s="23"/>
      <c r="C1204" s="14"/>
      <c r="D1204" s="23"/>
      <c r="E1204" s="84"/>
      <c r="F1204" s="23"/>
      <c r="G1204" s="165"/>
      <c r="H1204" s="165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56"/>
    </row>
    <row r="1205" spans="1:22" ht="45" x14ac:dyDescent="0.25">
      <c r="A1205" s="25">
        <v>1194</v>
      </c>
      <c r="B1205" s="89" t="s">
        <v>111</v>
      </c>
      <c r="C1205" s="90" t="s">
        <v>42</v>
      </c>
      <c r="D1205" s="89" t="s">
        <v>27</v>
      </c>
      <c r="E1205" s="89"/>
      <c r="F1205" s="89"/>
      <c r="G1205" s="163"/>
      <c r="H1205" s="167">
        <v>548300</v>
      </c>
      <c r="I1205" s="89" t="s">
        <v>93</v>
      </c>
      <c r="J1205" s="60"/>
      <c r="K1205" s="60"/>
      <c r="L1205" s="60"/>
      <c r="M1205" s="60">
        <v>1</v>
      </c>
      <c r="N1205" s="60"/>
      <c r="O1205" s="60"/>
      <c r="P1205" s="60"/>
      <c r="Q1205" s="60"/>
      <c r="R1205" s="60"/>
      <c r="S1205" s="60">
        <v>2</v>
      </c>
      <c r="T1205" s="60"/>
      <c r="U1205" s="60"/>
      <c r="V1205" s="56"/>
    </row>
    <row r="1206" spans="1:22" x14ac:dyDescent="0.25">
      <c r="A1206" s="25">
        <v>1195</v>
      </c>
      <c r="B1206" s="23"/>
      <c r="C1206" s="11" t="s">
        <v>375</v>
      </c>
      <c r="D1206" s="23"/>
      <c r="E1206" s="2">
        <f>15*3</f>
        <v>45</v>
      </c>
      <c r="F1206" s="23" t="s">
        <v>567</v>
      </c>
      <c r="G1206" s="24">
        <v>850</v>
      </c>
      <c r="H1206" s="165">
        <f>G1206*E1206</f>
        <v>38250</v>
      </c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56"/>
    </row>
    <row r="1207" spans="1:22" x14ac:dyDescent="0.25">
      <c r="A1207" s="25">
        <v>1196</v>
      </c>
      <c r="B1207" s="23"/>
      <c r="C1207" s="11" t="s">
        <v>383</v>
      </c>
      <c r="D1207" s="23"/>
      <c r="E1207" s="2">
        <f>10*3</f>
        <v>30</v>
      </c>
      <c r="F1207" s="23" t="s">
        <v>567</v>
      </c>
      <c r="G1207" s="24">
        <v>190</v>
      </c>
      <c r="H1207" s="165">
        <f t="shared" ref="H1207:H1215" si="85">G1207*E1207</f>
        <v>5700</v>
      </c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56"/>
    </row>
    <row r="1208" spans="1:22" x14ac:dyDescent="0.25">
      <c r="A1208" s="25">
        <v>1197</v>
      </c>
      <c r="B1208" s="23"/>
      <c r="C1208" s="11" t="s">
        <v>774</v>
      </c>
      <c r="D1208" s="23"/>
      <c r="E1208" s="2">
        <f>5*3</f>
        <v>15</v>
      </c>
      <c r="F1208" s="23" t="s">
        <v>567</v>
      </c>
      <c r="G1208" s="24">
        <v>321</v>
      </c>
      <c r="H1208" s="165">
        <f t="shared" si="85"/>
        <v>4815</v>
      </c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56"/>
    </row>
    <row r="1209" spans="1:22" x14ac:dyDescent="0.25">
      <c r="A1209" s="25">
        <v>1198</v>
      </c>
      <c r="B1209" s="23"/>
      <c r="C1209" s="11" t="s">
        <v>787</v>
      </c>
      <c r="D1209" s="23"/>
      <c r="E1209" s="2">
        <f>8*3</f>
        <v>24</v>
      </c>
      <c r="F1209" s="23" t="s">
        <v>567</v>
      </c>
      <c r="G1209" s="24">
        <v>115</v>
      </c>
      <c r="H1209" s="165">
        <f t="shared" si="85"/>
        <v>2760</v>
      </c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56"/>
    </row>
    <row r="1210" spans="1:22" x14ac:dyDescent="0.25">
      <c r="A1210" s="25">
        <v>1199</v>
      </c>
      <c r="B1210" s="23"/>
      <c r="C1210" s="11" t="s">
        <v>896</v>
      </c>
      <c r="D1210" s="23"/>
      <c r="E1210" s="2">
        <f>10*3</f>
        <v>30</v>
      </c>
      <c r="F1210" s="23" t="s">
        <v>567</v>
      </c>
      <c r="G1210" s="24">
        <v>550</v>
      </c>
      <c r="H1210" s="165">
        <f t="shared" si="85"/>
        <v>16500</v>
      </c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56"/>
    </row>
    <row r="1211" spans="1:22" x14ac:dyDescent="0.25">
      <c r="A1211" s="25">
        <v>1200</v>
      </c>
      <c r="B1211" s="23"/>
      <c r="C1211" s="11" t="s">
        <v>756</v>
      </c>
      <c r="D1211" s="23"/>
      <c r="E1211" s="2">
        <f>10*3</f>
        <v>30</v>
      </c>
      <c r="F1211" s="23" t="s">
        <v>567</v>
      </c>
      <c r="G1211" s="24">
        <v>115</v>
      </c>
      <c r="H1211" s="165">
        <f t="shared" si="85"/>
        <v>3450</v>
      </c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56"/>
    </row>
    <row r="1212" spans="1:22" x14ac:dyDescent="0.25">
      <c r="A1212" s="25">
        <v>1201</v>
      </c>
      <c r="B1212" s="23"/>
      <c r="C1212" s="11" t="s">
        <v>776</v>
      </c>
      <c r="D1212" s="23"/>
      <c r="E1212" s="2">
        <f>5*3</f>
        <v>15</v>
      </c>
      <c r="F1212" s="23" t="s">
        <v>567</v>
      </c>
      <c r="G1212" s="24">
        <v>289</v>
      </c>
      <c r="H1212" s="165">
        <f t="shared" si="85"/>
        <v>4335</v>
      </c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56"/>
    </row>
    <row r="1213" spans="1:22" x14ac:dyDescent="0.25">
      <c r="A1213" s="25">
        <v>1202</v>
      </c>
      <c r="B1213" s="23"/>
      <c r="C1213" s="11" t="s">
        <v>490</v>
      </c>
      <c r="D1213" s="23"/>
      <c r="E1213" s="2">
        <f>15*3</f>
        <v>45</v>
      </c>
      <c r="F1213" s="23" t="s">
        <v>567</v>
      </c>
      <c r="G1213" s="24">
        <v>825</v>
      </c>
      <c r="H1213" s="165">
        <f t="shared" si="85"/>
        <v>37125</v>
      </c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56"/>
    </row>
    <row r="1214" spans="1:22" x14ac:dyDescent="0.25">
      <c r="A1214" s="25">
        <v>1203</v>
      </c>
      <c r="B1214" s="23"/>
      <c r="C1214" s="11" t="s">
        <v>491</v>
      </c>
      <c r="D1214" s="23"/>
      <c r="E1214" s="2">
        <f>15*3</f>
        <v>45</v>
      </c>
      <c r="F1214" s="23" t="s">
        <v>567</v>
      </c>
      <c r="G1214" s="24">
        <v>830</v>
      </c>
      <c r="H1214" s="165">
        <f t="shared" si="85"/>
        <v>37350</v>
      </c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56"/>
    </row>
    <row r="1215" spans="1:22" x14ac:dyDescent="0.25">
      <c r="A1215" s="25">
        <v>1204</v>
      </c>
      <c r="B1215" s="23"/>
      <c r="C1215" s="11" t="s">
        <v>789</v>
      </c>
      <c r="D1215" s="23"/>
      <c r="E1215" s="2">
        <f>8*3</f>
        <v>24</v>
      </c>
      <c r="F1215" s="2" t="s">
        <v>152</v>
      </c>
      <c r="G1215" s="24">
        <v>114</v>
      </c>
      <c r="H1215" s="165">
        <f t="shared" si="85"/>
        <v>2736</v>
      </c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56"/>
    </row>
    <row r="1216" spans="1:22" x14ac:dyDescent="0.25">
      <c r="A1216" s="25">
        <v>1205</v>
      </c>
      <c r="B1216" s="23"/>
      <c r="C1216" s="11" t="s">
        <v>790</v>
      </c>
      <c r="D1216" s="23"/>
      <c r="E1216" s="2">
        <f>8*3</f>
        <v>24</v>
      </c>
      <c r="F1216" s="2" t="s">
        <v>152</v>
      </c>
      <c r="G1216" s="24">
        <v>185</v>
      </c>
      <c r="H1216" s="165">
        <f t="shared" ref="H1216:H1232" si="86">G1216*E1216</f>
        <v>4440</v>
      </c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56"/>
    </row>
    <row r="1217" spans="1:22" x14ac:dyDescent="0.25">
      <c r="A1217" s="25">
        <v>1206</v>
      </c>
      <c r="B1217" s="23"/>
      <c r="C1217" s="11" t="s">
        <v>791</v>
      </c>
      <c r="D1217" s="23"/>
      <c r="E1217" s="2">
        <f>10*2</f>
        <v>20</v>
      </c>
      <c r="F1217" s="23" t="s">
        <v>567</v>
      </c>
      <c r="G1217" s="24">
        <v>375</v>
      </c>
      <c r="H1217" s="165">
        <f t="shared" si="86"/>
        <v>7500</v>
      </c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56"/>
    </row>
    <row r="1218" spans="1:22" x14ac:dyDescent="0.25">
      <c r="A1218" s="25">
        <v>1207</v>
      </c>
      <c r="B1218" s="23"/>
      <c r="C1218" s="11" t="s">
        <v>792</v>
      </c>
      <c r="D1218" s="23"/>
      <c r="E1218" s="2">
        <f>8*3</f>
        <v>24</v>
      </c>
      <c r="F1218" s="23" t="s">
        <v>567</v>
      </c>
      <c r="G1218" s="24">
        <v>111</v>
      </c>
      <c r="H1218" s="165">
        <f t="shared" si="86"/>
        <v>2664</v>
      </c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56"/>
    </row>
    <row r="1219" spans="1:22" x14ac:dyDescent="0.25">
      <c r="A1219" s="25">
        <v>1208</v>
      </c>
      <c r="B1219" s="23"/>
      <c r="C1219" s="11" t="s">
        <v>793</v>
      </c>
      <c r="D1219" s="23"/>
      <c r="E1219" s="2">
        <f>4*2</f>
        <v>8</v>
      </c>
      <c r="F1219" s="2" t="s">
        <v>152</v>
      </c>
      <c r="G1219" s="24">
        <v>133.25</v>
      </c>
      <c r="H1219" s="165">
        <f t="shared" si="86"/>
        <v>1066</v>
      </c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56"/>
    </row>
    <row r="1220" spans="1:22" x14ac:dyDescent="0.25">
      <c r="A1220" s="25">
        <v>1209</v>
      </c>
      <c r="B1220" s="23"/>
      <c r="C1220" s="11" t="s">
        <v>794</v>
      </c>
      <c r="D1220" s="23"/>
      <c r="E1220" s="2">
        <f>8*2</f>
        <v>16</v>
      </c>
      <c r="F1220" s="23" t="s">
        <v>567</v>
      </c>
      <c r="G1220" s="24">
        <v>489</v>
      </c>
      <c r="H1220" s="165">
        <f t="shared" si="86"/>
        <v>7824</v>
      </c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56"/>
    </row>
    <row r="1221" spans="1:22" x14ac:dyDescent="0.25">
      <c r="A1221" s="25">
        <v>1210</v>
      </c>
      <c r="B1221" s="23"/>
      <c r="C1221" s="11" t="s">
        <v>795</v>
      </c>
      <c r="D1221" s="23"/>
      <c r="E1221" s="2">
        <f>5*2</f>
        <v>10</v>
      </c>
      <c r="F1221" s="23" t="s">
        <v>567</v>
      </c>
      <c r="G1221" s="24">
        <v>420</v>
      </c>
      <c r="H1221" s="165">
        <f t="shared" si="86"/>
        <v>4200</v>
      </c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56"/>
    </row>
    <row r="1222" spans="1:22" x14ac:dyDescent="0.25">
      <c r="A1222" s="25">
        <v>1211</v>
      </c>
      <c r="B1222" s="23"/>
      <c r="C1222" s="11" t="s">
        <v>277</v>
      </c>
      <c r="D1222" s="23"/>
      <c r="E1222" s="2">
        <f>5*2</f>
        <v>10</v>
      </c>
      <c r="F1222" s="23" t="s">
        <v>567</v>
      </c>
      <c r="G1222" s="24">
        <v>675</v>
      </c>
      <c r="H1222" s="165">
        <f t="shared" si="86"/>
        <v>6750</v>
      </c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56"/>
    </row>
    <row r="1223" spans="1:22" x14ac:dyDescent="0.25">
      <c r="A1223" s="25">
        <v>1212</v>
      </c>
      <c r="B1223" s="23"/>
      <c r="C1223" s="11" t="s">
        <v>385</v>
      </c>
      <c r="D1223" s="23"/>
      <c r="E1223" s="2">
        <f>15*2</f>
        <v>30</v>
      </c>
      <c r="F1223" s="2" t="s">
        <v>152</v>
      </c>
      <c r="G1223" s="24">
        <v>1250</v>
      </c>
      <c r="H1223" s="165">
        <f t="shared" si="86"/>
        <v>37500</v>
      </c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56"/>
    </row>
    <row r="1224" spans="1:22" x14ac:dyDescent="0.25">
      <c r="A1224" s="25">
        <v>1213</v>
      </c>
      <c r="B1224" s="23"/>
      <c r="C1224" s="11" t="s">
        <v>274</v>
      </c>
      <c r="D1224" s="23"/>
      <c r="E1224" s="2">
        <f>10*2</f>
        <v>20</v>
      </c>
      <c r="F1224" s="23" t="s">
        <v>309</v>
      </c>
      <c r="G1224" s="24">
        <v>110</v>
      </c>
      <c r="H1224" s="165">
        <f t="shared" si="86"/>
        <v>2200</v>
      </c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56"/>
    </row>
    <row r="1225" spans="1:22" x14ac:dyDescent="0.25">
      <c r="A1225" s="25">
        <v>1214</v>
      </c>
      <c r="B1225" s="23"/>
      <c r="C1225" s="11" t="s">
        <v>393</v>
      </c>
      <c r="D1225" s="23"/>
      <c r="E1225" s="2">
        <f>21*2</f>
        <v>42</v>
      </c>
      <c r="F1225" s="23" t="s">
        <v>567</v>
      </c>
      <c r="G1225" s="24">
        <v>145</v>
      </c>
      <c r="H1225" s="165">
        <f t="shared" si="86"/>
        <v>6090</v>
      </c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56"/>
    </row>
    <row r="1226" spans="1:22" x14ac:dyDescent="0.25">
      <c r="A1226" s="25">
        <v>1215</v>
      </c>
      <c r="B1226" s="23"/>
      <c r="C1226" s="11" t="s">
        <v>897</v>
      </c>
      <c r="D1226" s="23"/>
      <c r="E1226" s="2">
        <v>2</v>
      </c>
      <c r="F1226" s="8" t="s">
        <v>152</v>
      </c>
      <c r="G1226" s="24">
        <v>2700</v>
      </c>
      <c r="H1226" s="165">
        <f t="shared" si="86"/>
        <v>5400</v>
      </c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56"/>
    </row>
    <row r="1227" spans="1:22" x14ac:dyDescent="0.25">
      <c r="A1227" s="25">
        <v>1216</v>
      </c>
      <c r="B1227" s="23"/>
      <c r="C1227" s="11" t="s">
        <v>353</v>
      </c>
      <c r="D1227" s="23"/>
      <c r="E1227" s="2">
        <f>5*2</f>
        <v>10</v>
      </c>
      <c r="F1227" s="2" t="s">
        <v>579</v>
      </c>
      <c r="G1227" s="24">
        <v>890</v>
      </c>
      <c r="H1227" s="165">
        <f t="shared" si="86"/>
        <v>8900</v>
      </c>
      <c r="I1227" s="211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56"/>
    </row>
    <row r="1228" spans="1:22" x14ac:dyDescent="0.25">
      <c r="A1228" s="25">
        <v>1217</v>
      </c>
      <c r="B1228" s="23"/>
      <c r="C1228" s="1" t="s">
        <v>797</v>
      </c>
      <c r="D1228" s="23"/>
      <c r="E1228" s="8">
        <f>2*260</f>
        <v>520</v>
      </c>
      <c r="F1228" s="8" t="s">
        <v>152</v>
      </c>
      <c r="G1228" s="220">
        <v>8.35</v>
      </c>
      <c r="H1228" s="165">
        <f t="shared" si="86"/>
        <v>4342</v>
      </c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56"/>
    </row>
    <row r="1229" spans="1:22" x14ac:dyDescent="0.25">
      <c r="A1229" s="25">
        <v>1218</v>
      </c>
      <c r="B1229" s="23"/>
      <c r="C1229" s="1" t="s">
        <v>798</v>
      </c>
      <c r="D1229" s="23"/>
      <c r="E1229" s="8">
        <f>2*260</f>
        <v>520</v>
      </c>
      <c r="F1229" s="8" t="s">
        <v>152</v>
      </c>
      <c r="G1229" s="220">
        <v>3</v>
      </c>
      <c r="H1229" s="165">
        <f t="shared" si="86"/>
        <v>1560</v>
      </c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56"/>
    </row>
    <row r="1230" spans="1:22" x14ac:dyDescent="0.25">
      <c r="A1230" s="25">
        <v>1219</v>
      </c>
      <c r="B1230" s="23"/>
      <c r="C1230" s="1" t="s">
        <v>799</v>
      </c>
      <c r="D1230" s="23"/>
      <c r="E1230" s="8">
        <v>781</v>
      </c>
      <c r="F1230" s="8" t="s">
        <v>152</v>
      </c>
      <c r="G1230" s="220">
        <v>2.0012804100000001</v>
      </c>
      <c r="H1230" s="165">
        <f t="shared" si="86"/>
        <v>1563.0000002100001</v>
      </c>
      <c r="I1230" s="72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56"/>
    </row>
    <row r="1231" spans="1:22" x14ac:dyDescent="0.25">
      <c r="A1231" s="25">
        <v>1220</v>
      </c>
      <c r="B1231" s="23"/>
      <c r="C1231" s="1" t="s">
        <v>800</v>
      </c>
      <c r="D1231" s="23"/>
      <c r="E1231" s="8">
        <f>260*2</f>
        <v>520</v>
      </c>
      <c r="F1231" s="8" t="s">
        <v>152</v>
      </c>
      <c r="G1231" s="220">
        <v>13</v>
      </c>
      <c r="H1231" s="165">
        <f t="shared" si="86"/>
        <v>6760</v>
      </c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56"/>
    </row>
    <row r="1232" spans="1:22" x14ac:dyDescent="0.25">
      <c r="A1232" s="25">
        <v>1221</v>
      </c>
      <c r="B1232" s="23"/>
      <c r="C1232" s="1" t="s">
        <v>801</v>
      </c>
      <c r="D1232" s="23"/>
      <c r="E1232" s="2">
        <f t="shared" ref="E1232:E1236" si="87">260*2</f>
        <v>520</v>
      </c>
      <c r="F1232" s="8" t="s">
        <v>152</v>
      </c>
      <c r="G1232" s="220">
        <v>8</v>
      </c>
      <c r="H1232" s="165">
        <f t="shared" si="86"/>
        <v>4160</v>
      </c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56"/>
    </row>
    <row r="1233" spans="1:22" x14ac:dyDescent="0.25">
      <c r="A1233" s="25">
        <v>1222</v>
      </c>
      <c r="B1233" s="23"/>
      <c r="C1233" s="11" t="s">
        <v>786</v>
      </c>
      <c r="D1233" s="23"/>
      <c r="E1233" s="2">
        <f t="shared" si="87"/>
        <v>520</v>
      </c>
      <c r="F1233" s="2" t="s">
        <v>152</v>
      </c>
      <c r="G1233" s="24">
        <v>2</v>
      </c>
      <c r="H1233" s="165">
        <f t="shared" ref="H1233:H1239" si="88">G1233*E1233</f>
        <v>1040</v>
      </c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56"/>
    </row>
    <row r="1234" spans="1:22" x14ac:dyDescent="0.25">
      <c r="A1234" s="25">
        <v>1223</v>
      </c>
      <c r="B1234" s="23"/>
      <c r="C1234" s="11" t="s">
        <v>383</v>
      </c>
      <c r="D1234" s="23"/>
      <c r="E1234" s="2">
        <f t="shared" si="87"/>
        <v>520</v>
      </c>
      <c r="F1234" s="2" t="s">
        <v>152</v>
      </c>
      <c r="G1234" s="24">
        <v>13</v>
      </c>
      <c r="H1234" s="165">
        <f t="shared" si="88"/>
        <v>6760</v>
      </c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56"/>
    </row>
    <row r="1235" spans="1:22" x14ac:dyDescent="0.25">
      <c r="A1235" s="25">
        <v>1224</v>
      </c>
      <c r="B1235" s="23"/>
      <c r="C1235" s="11" t="s">
        <v>774</v>
      </c>
      <c r="D1235" s="23"/>
      <c r="E1235" s="2">
        <f t="shared" si="87"/>
        <v>520</v>
      </c>
      <c r="F1235" s="2" t="s">
        <v>152</v>
      </c>
      <c r="G1235" s="24">
        <v>15</v>
      </c>
      <c r="H1235" s="165">
        <f>G1235*E1235</f>
        <v>7800</v>
      </c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56"/>
    </row>
    <row r="1236" spans="1:22" x14ac:dyDescent="0.25">
      <c r="A1236" s="25">
        <v>1225</v>
      </c>
      <c r="B1236" s="23"/>
      <c r="C1236" s="11" t="s">
        <v>490</v>
      </c>
      <c r="D1236" s="23"/>
      <c r="E1236" s="2">
        <f t="shared" si="87"/>
        <v>520</v>
      </c>
      <c r="F1236" s="2" t="s">
        <v>152</v>
      </c>
      <c r="G1236" s="24">
        <v>12</v>
      </c>
      <c r="H1236" s="165">
        <f t="shared" si="88"/>
        <v>6240</v>
      </c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56"/>
    </row>
    <row r="1237" spans="1:22" x14ac:dyDescent="0.25">
      <c r="A1237" s="25">
        <v>1226</v>
      </c>
      <c r="B1237" s="23"/>
      <c r="C1237" s="11" t="s">
        <v>491</v>
      </c>
      <c r="D1237" s="23"/>
      <c r="E1237" s="2">
        <f>260*2</f>
        <v>520</v>
      </c>
      <c r="F1237" s="2" t="s">
        <v>152</v>
      </c>
      <c r="G1237" s="24">
        <v>10</v>
      </c>
      <c r="H1237" s="165">
        <f t="shared" si="88"/>
        <v>5200</v>
      </c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56"/>
    </row>
    <row r="1238" spans="1:22" x14ac:dyDescent="0.25">
      <c r="A1238" s="25">
        <v>1227</v>
      </c>
      <c r="B1238" s="23"/>
      <c r="C1238" s="11" t="s">
        <v>796</v>
      </c>
      <c r="D1238" s="23"/>
      <c r="E1238" s="2">
        <v>260</v>
      </c>
      <c r="F1238" s="2" t="s">
        <v>152</v>
      </c>
      <c r="G1238" s="24">
        <v>272</v>
      </c>
      <c r="H1238" s="165">
        <f t="shared" si="88"/>
        <v>70720</v>
      </c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56"/>
    </row>
    <row r="1239" spans="1:22" x14ac:dyDescent="0.25">
      <c r="A1239" s="25">
        <v>1228</v>
      </c>
      <c r="B1239" s="23"/>
      <c r="C1239" s="11" t="s">
        <v>883</v>
      </c>
      <c r="D1239" s="23"/>
      <c r="E1239" s="2">
        <v>260</v>
      </c>
      <c r="F1239" s="2" t="s">
        <v>128</v>
      </c>
      <c r="G1239" s="24">
        <v>710</v>
      </c>
      <c r="H1239" s="165">
        <f t="shared" si="88"/>
        <v>184600</v>
      </c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56"/>
    </row>
    <row r="1240" spans="1:22" x14ac:dyDescent="0.25">
      <c r="A1240" s="25">
        <v>1229</v>
      </c>
      <c r="B1240" s="23"/>
      <c r="C1240" s="14"/>
      <c r="D1240" s="23"/>
      <c r="E1240" s="84"/>
      <c r="F1240" s="23"/>
      <c r="G1240" s="165"/>
      <c r="H1240" s="165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56"/>
    </row>
    <row r="1241" spans="1:22" ht="30" x14ac:dyDescent="0.25">
      <c r="A1241" s="25">
        <v>1230</v>
      </c>
      <c r="B1241" s="89" t="s">
        <v>111</v>
      </c>
      <c r="C1241" s="90" t="s">
        <v>96</v>
      </c>
      <c r="D1241" s="89" t="s">
        <v>27</v>
      </c>
      <c r="E1241" s="89"/>
      <c r="F1241" s="89"/>
      <c r="G1241" s="163"/>
      <c r="H1241" s="167">
        <v>35550</v>
      </c>
      <c r="I1241" s="89" t="s">
        <v>93</v>
      </c>
      <c r="J1241" s="60"/>
      <c r="K1241" s="60"/>
      <c r="L1241" s="60"/>
      <c r="M1241" s="60"/>
      <c r="N1241" s="60"/>
      <c r="O1241" s="60"/>
      <c r="P1241" s="60">
        <v>1</v>
      </c>
      <c r="Q1241" s="60"/>
      <c r="R1241" s="60"/>
      <c r="S1241" s="60"/>
      <c r="T1241" s="60"/>
      <c r="U1241" s="60"/>
      <c r="V1241" s="56"/>
    </row>
    <row r="1242" spans="1:22" x14ac:dyDescent="0.25">
      <c r="A1242" s="25">
        <v>1231</v>
      </c>
      <c r="B1242" s="23"/>
      <c r="C1242" s="39" t="s">
        <v>786</v>
      </c>
      <c r="D1242" s="8"/>
      <c r="E1242" s="36">
        <v>4</v>
      </c>
      <c r="F1242" s="36" t="s">
        <v>567</v>
      </c>
      <c r="G1242" s="95">
        <v>1145</v>
      </c>
      <c r="H1242" s="165">
        <f>G1242*E1242</f>
        <v>4580</v>
      </c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56"/>
    </row>
    <row r="1243" spans="1:22" x14ac:dyDescent="0.25">
      <c r="A1243" s="25">
        <v>1232</v>
      </c>
      <c r="B1243" s="23"/>
      <c r="C1243" s="39" t="s">
        <v>276</v>
      </c>
      <c r="D1243" s="8"/>
      <c r="E1243" s="36">
        <v>5</v>
      </c>
      <c r="F1243" s="36" t="s">
        <v>567</v>
      </c>
      <c r="G1243" s="95">
        <v>820</v>
      </c>
      <c r="H1243" s="165">
        <f t="shared" ref="H1243:H1248" si="89">G1243*E1243</f>
        <v>4100</v>
      </c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56"/>
    </row>
    <row r="1244" spans="1:22" x14ac:dyDescent="0.25">
      <c r="A1244" s="25">
        <v>1233</v>
      </c>
      <c r="B1244" s="23"/>
      <c r="C1244" s="39" t="s">
        <v>277</v>
      </c>
      <c r="D1244" s="8"/>
      <c r="E1244" s="36">
        <v>12</v>
      </c>
      <c r="F1244" s="23" t="s">
        <v>309</v>
      </c>
      <c r="G1244" s="95">
        <v>105</v>
      </c>
      <c r="H1244" s="165">
        <f t="shared" si="89"/>
        <v>1260</v>
      </c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56"/>
    </row>
    <row r="1245" spans="1:22" x14ac:dyDescent="0.25">
      <c r="A1245" s="25">
        <v>1234</v>
      </c>
      <c r="B1245" s="23"/>
      <c r="C1245" s="39" t="s">
        <v>278</v>
      </c>
      <c r="D1245" s="8"/>
      <c r="E1245" s="36">
        <v>25</v>
      </c>
      <c r="F1245" s="36" t="s">
        <v>567</v>
      </c>
      <c r="G1245" s="95">
        <v>470</v>
      </c>
      <c r="H1245" s="165">
        <f t="shared" si="89"/>
        <v>11750</v>
      </c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56"/>
    </row>
    <row r="1246" spans="1:22" x14ac:dyDescent="0.25">
      <c r="A1246" s="25">
        <v>1235</v>
      </c>
      <c r="B1246" s="23"/>
      <c r="C1246" s="39" t="s">
        <v>279</v>
      </c>
      <c r="D1246" s="8"/>
      <c r="E1246" s="36">
        <v>80</v>
      </c>
      <c r="F1246" s="36" t="s">
        <v>152</v>
      </c>
      <c r="G1246" s="95">
        <v>15</v>
      </c>
      <c r="H1246" s="165">
        <f t="shared" si="89"/>
        <v>1200</v>
      </c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56"/>
    </row>
    <row r="1247" spans="1:22" x14ac:dyDescent="0.25">
      <c r="A1247" s="25">
        <v>1236</v>
      </c>
      <c r="B1247" s="23"/>
      <c r="C1247" s="39" t="s">
        <v>870</v>
      </c>
      <c r="D1247" s="8"/>
      <c r="E1247" s="36">
        <v>30</v>
      </c>
      <c r="F1247" s="36" t="s">
        <v>152</v>
      </c>
      <c r="G1247" s="95">
        <v>345</v>
      </c>
      <c r="H1247" s="165">
        <f t="shared" si="89"/>
        <v>10350</v>
      </c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56"/>
    </row>
    <row r="1248" spans="1:22" x14ac:dyDescent="0.25">
      <c r="A1248" s="25">
        <v>1237</v>
      </c>
      <c r="B1248" s="23"/>
      <c r="C1248" s="39" t="s">
        <v>385</v>
      </c>
      <c r="D1248" s="8"/>
      <c r="E1248" s="36">
        <v>2</v>
      </c>
      <c r="F1248" s="36" t="s">
        <v>152</v>
      </c>
      <c r="G1248" s="95">
        <v>1155</v>
      </c>
      <c r="H1248" s="165">
        <f t="shared" si="89"/>
        <v>2310</v>
      </c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56"/>
    </row>
    <row r="1249" spans="1:22" x14ac:dyDescent="0.25">
      <c r="A1249" s="25">
        <v>1238</v>
      </c>
      <c r="B1249" s="23"/>
      <c r="C1249" s="39"/>
      <c r="D1249" s="36"/>
      <c r="E1249" s="36"/>
      <c r="F1249" s="95"/>
      <c r="G1249" s="165"/>
      <c r="H1249" s="165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56"/>
    </row>
    <row r="1250" spans="1:22" ht="30" x14ac:dyDescent="0.25">
      <c r="A1250" s="25">
        <v>1239</v>
      </c>
      <c r="B1250" s="89" t="s">
        <v>111</v>
      </c>
      <c r="C1250" s="90" t="s">
        <v>115</v>
      </c>
      <c r="D1250" s="89" t="s">
        <v>27</v>
      </c>
      <c r="E1250" s="89"/>
      <c r="F1250" s="89"/>
      <c r="G1250" s="163"/>
      <c r="H1250" s="167">
        <v>18810</v>
      </c>
      <c r="I1250" s="89" t="s">
        <v>93</v>
      </c>
      <c r="J1250" s="60">
        <v>1</v>
      </c>
      <c r="K1250" s="60">
        <v>1</v>
      </c>
      <c r="L1250" s="60">
        <v>1</v>
      </c>
      <c r="M1250" s="60">
        <v>1</v>
      </c>
      <c r="N1250" s="60">
        <v>1</v>
      </c>
      <c r="O1250" s="60">
        <v>1</v>
      </c>
      <c r="P1250" s="60">
        <v>1</v>
      </c>
      <c r="Q1250" s="60">
        <v>1</v>
      </c>
      <c r="R1250" s="60">
        <v>1</v>
      </c>
      <c r="S1250" s="60">
        <v>1</v>
      </c>
      <c r="T1250" s="60">
        <v>1</v>
      </c>
      <c r="U1250" s="60">
        <v>1</v>
      </c>
      <c r="V1250" s="56"/>
    </row>
    <row r="1251" spans="1:22" x14ac:dyDescent="0.25">
      <c r="A1251" s="25">
        <v>1240</v>
      </c>
      <c r="B1251" s="23"/>
      <c r="C1251" s="69" t="s">
        <v>1421</v>
      </c>
      <c r="D1251" s="23"/>
      <c r="E1251" s="67">
        <f>2*4</f>
        <v>8</v>
      </c>
      <c r="F1251" s="23" t="s">
        <v>567</v>
      </c>
      <c r="G1251" s="172">
        <v>1250</v>
      </c>
      <c r="H1251" s="165">
        <f>G1251*E1251</f>
        <v>10000</v>
      </c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56"/>
    </row>
    <row r="1252" spans="1:22" x14ac:dyDescent="0.25">
      <c r="A1252" s="25">
        <v>1241</v>
      </c>
      <c r="B1252" s="23"/>
      <c r="C1252" s="69" t="s">
        <v>383</v>
      </c>
      <c r="D1252" s="23"/>
      <c r="E1252" s="67">
        <f>2*4</f>
        <v>8</v>
      </c>
      <c r="F1252" s="23" t="s">
        <v>567</v>
      </c>
      <c r="G1252" s="172">
        <v>150</v>
      </c>
      <c r="H1252" s="165">
        <f t="shared" ref="H1252:H1260" si="90">G1252*E1252</f>
        <v>1200</v>
      </c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56"/>
    </row>
    <row r="1253" spans="1:22" x14ac:dyDescent="0.25">
      <c r="A1253" s="25">
        <v>1242</v>
      </c>
      <c r="B1253" s="23"/>
      <c r="C1253" s="69" t="s">
        <v>774</v>
      </c>
      <c r="D1253" s="23"/>
      <c r="E1253" s="67">
        <v>4</v>
      </c>
      <c r="F1253" s="23" t="s">
        <v>567</v>
      </c>
      <c r="G1253" s="172">
        <v>320</v>
      </c>
      <c r="H1253" s="165">
        <f t="shared" si="90"/>
        <v>1280</v>
      </c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56"/>
    </row>
    <row r="1254" spans="1:22" x14ac:dyDescent="0.25">
      <c r="A1254" s="25">
        <v>1243</v>
      </c>
      <c r="B1254" s="23"/>
      <c r="C1254" s="69" t="s">
        <v>787</v>
      </c>
      <c r="D1254" s="23"/>
      <c r="E1254" s="67">
        <v>4</v>
      </c>
      <c r="F1254" s="23" t="s">
        <v>567</v>
      </c>
      <c r="G1254" s="172">
        <v>75</v>
      </c>
      <c r="H1254" s="165">
        <f t="shared" si="90"/>
        <v>300</v>
      </c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56"/>
    </row>
    <row r="1255" spans="1:22" x14ac:dyDescent="0.25">
      <c r="A1255" s="25">
        <v>1244</v>
      </c>
      <c r="B1255" s="23"/>
      <c r="C1255" s="69" t="s">
        <v>788</v>
      </c>
      <c r="D1255" s="23"/>
      <c r="E1255" s="67">
        <f>2*4</f>
        <v>8</v>
      </c>
      <c r="F1255" s="67" t="s">
        <v>152</v>
      </c>
      <c r="G1255" s="172">
        <v>20</v>
      </c>
      <c r="H1255" s="165">
        <f t="shared" si="90"/>
        <v>160</v>
      </c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56"/>
    </row>
    <row r="1256" spans="1:22" x14ac:dyDescent="0.25">
      <c r="A1256" s="25">
        <v>1245</v>
      </c>
      <c r="B1256" s="23"/>
      <c r="C1256" s="69" t="s">
        <v>1132</v>
      </c>
      <c r="D1256" s="23"/>
      <c r="E1256" s="67">
        <v>4</v>
      </c>
      <c r="F1256" s="23" t="s">
        <v>567</v>
      </c>
      <c r="G1256" s="172">
        <v>115</v>
      </c>
      <c r="H1256" s="165">
        <f t="shared" si="90"/>
        <v>460</v>
      </c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56"/>
    </row>
    <row r="1257" spans="1:22" x14ac:dyDescent="0.25">
      <c r="A1257" s="25">
        <v>1246</v>
      </c>
      <c r="B1257" s="23"/>
      <c r="C1257" s="69" t="s">
        <v>776</v>
      </c>
      <c r="D1257" s="23"/>
      <c r="E1257" s="67">
        <v>4</v>
      </c>
      <c r="F1257" s="23" t="s">
        <v>567</v>
      </c>
      <c r="G1257" s="172">
        <v>280</v>
      </c>
      <c r="H1257" s="165">
        <f t="shared" si="90"/>
        <v>1120</v>
      </c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56"/>
    </row>
    <row r="1258" spans="1:22" x14ac:dyDescent="0.25">
      <c r="A1258" s="25">
        <v>1247</v>
      </c>
      <c r="B1258" s="23"/>
      <c r="C1258" s="69" t="s">
        <v>1085</v>
      </c>
      <c r="D1258" s="23"/>
      <c r="E1258" s="67">
        <v>4</v>
      </c>
      <c r="F1258" s="67" t="s">
        <v>152</v>
      </c>
      <c r="G1258" s="172">
        <v>185</v>
      </c>
      <c r="H1258" s="165">
        <f t="shared" si="90"/>
        <v>740</v>
      </c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56"/>
    </row>
    <row r="1259" spans="1:22" x14ac:dyDescent="0.25">
      <c r="A1259" s="25">
        <v>1248</v>
      </c>
      <c r="B1259" s="23"/>
      <c r="C1259" s="69" t="s">
        <v>791</v>
      </c>
      <c r="D1259" s="23"/>
      <c r="E1259" s="67">
        <v>4</v>
      </c>
      <c r="F1259" s="23" t="s">
        <v>567</v>
      </c>
      <c r="G1259" s="172">
        <v>355</v>
      </c>
      <c r="H1259" s="165">
        <f t="shared" si="90"/>
        <v>1420</v>
      </c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56"/>
    </row>
    <row r="1260" spans="1:22" x14ac:dyDescent="0.25">
      <c r="A1260" s="25">
        <v>1249</v>
      </c>
      <c r="B1260" s="23"/>
      <c r="C1260" s="69" t="s">
        <v>1133</v>
      </c>
      <c r="D1260" s="23"/>
      <c r="E1260" s="67">
        <v>4</v>
      </c>
      <c r="F1260" s="23" t="s">
        <v>567</v>
      </c>
      <c r="G1260" s="172">
        <v>532.5</v>
      </c>
      <c r="H1260" s="165">
        <f t="shared" si="90"/>
        <v>2130</v>
      </c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56"/>
    </row>
    <row r="1261" spans="1:22" x14ac:dyDescent="0.25">
      <c r="A1261" s="25">
        <v>1250</v>
      </c>
      <c r="B1261" s="23"/>
      <c r="C1261" s="14"/>
      <c r="D1261" s="23"/>
      <c r="E1261" s="84"/>
      <c r="F1261" s="23"/>
      <c r="G1261" s="165"/>
      <c r="H1261" s="165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56"/>
    </row>
    <row r="1262" spans="1:22" ht="30" x14ac:dyDescent="0.25">
      <c r="A1262" s="25">
        <v>1251</v>
      </c>
      <c r="B1262" s="89" t="s">
        <v>111</v>
      </c>
      <c r="C1262" s="90" t="s">
        <v>103</v>
      </c>
      <c r="D1262" s="89" t="s">
        <v>27</v>
      </c>
      <c r="E1262" s="89"/>
      <c r="F1262" s="89"/>
      <c r="G1262" s="163"/>
      <c r="H1262" s="167">
        <v>52330</v>
      </c>
      <c r="I1262" s="89" t="s">
        <v>93</v>
      </c>
      <c r="J1262" s="60">
        <v>2</v>
      </c>
      <c r="K1262" s="60">
        <v>2</v>
      </c>
      <c r="L1262" s="60">
        <v>2</v>
      </c>
      <c r="M1262" s="60">
        <v>2</v>
      </c>
      <c r="N1262" s="60">
        <v>2</v>
      </c>
      <c r="O1262" s="60">
        <v>2</v>
      </c>
      <c r="P1262" s="60">
        <v>2</v>
      </c>
      <c r="Q1262" s="60">
        <v>1</v>
      </c>
      <c r="R1262" s="60">
        <v>1</v>
      </c>
      <c r="S1262" s="60">
        <v>2</v>
      </c>
      <c r="T1262" s="60">
        <v>2</v>
      </c>
      <c r="U1262" s="60">
        <v>2</v>
      </c>
      <c r="V1262" s="56"/>
    </row>
    <row r="1263" spans="1:22" x14ac:dyDescent="0.25">
      <c r="A1263" s="25">
        <v>1252</v>
      </c>
      <c r="B1263" s="23"/>
      <c r="C1263" s="11" t="s">
        <v>375</v>
      </c>
      <c r="D1263" s="23"/>
      <c r="E1263" s="8">
        <v>35</v>
      </c>
      <c r="F1263" s="2" t="s">
        <v>290</v>
      </c>
      <c r="G1263" s="127">
        <v>350</v>
      </c>
      <c r="H1263" s="165">
        <f>G1263*E1263</f>
        <v>12250</v>
      </c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56"/>
    </row>
    <row r="1264" spans="1:22" x14ac:dyDescent="0.25">
      <c r="A1264" s="25">
        <v>1253</v>
      </c>
      <c r="B1264" s="23"/>
      <c r="C1264" s="11" t="s">
        <v>376</v>
      </c>
      <c r="D1264" s="23"/>
      <c r="E1264" s="8">
        <v>20</v>
      </c>
      <c r="F1264" s="2" t="s">
        <v>290</v>
      </c>
      <c r="G1264" s="127">
        <v>410</v>
      </c>
      <c r="H1264" s="165">
        <f t="shared" ref="H1264:H1276" si="91">G1264*E1264</f>
        <v>8200</v>
      </c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56"/>
    </row>
    <row r="1265" spans="1:22" x14ac:dyDescent="0.25">
      <c r="A1265" s="25">
        <v>1254</v>
      </c>
      <c r="B1265" s="23"/>
      <c r="C1265" s="128" t="s">
        <v>776</v>
      </c>
      <c r="D1265" s="23"/>
      <c r="E1265" s="8">
        <v>4</v>
      </c>
      <c r="F1265" s="2" t="s">
        <v>152</v>
      </c>
      <c r="G1265" s="127">
        <v>350</v>
      </c>
      <c r="H1265" s="165">
        <f t="shared" si="91"/>
        <v>1400</v>
      </c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56"/>
    </row>
    <row r="1266" spans="1:22" x14ac:dyDescent="0.25">
      <c r="A1266" s="25">
        <v>1255</v>
      </c>
      <c r="B1266" s="23"/>
      <c r="C1266" s="11" t="s">
        <v>774</v>
      </c>
      <c r="D1266" s="23"/>
      <c r="E1266" s="8">
        <v>115</v>
      </c>
      <c r="F1266" s="2" t="s">
        <v>152</v>
      </c>
      <c r="G1266" s="127">
        <v>25</v>
      </c>
      <c r="H1266" s="165">
        <f t="shared" si="91"/>
        <v>2875</v>
      </c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56"/>
    </row>
    <row r="1267" spans="1:22" x14ac:dyDescent="0.25">
      <c r="A1267" s="25">
        <v>1256</v>
      </c>
      <c r="B1267" s="23"/>
      <c r="C1267" s="11" t="s">
        <v>383</v>
      </c>
      <c r="D1267" s="23"/>
      <c r="E1267" s="8">
        <v>115</v>
      </c>
      <c r="F1267" s="2" t="s">
        <v>152</v>
      </c>
      <c r="G1267" s="127">
        <v>20</v>
      </c>
      <c r="H1267" s="165">
        <f t="shared" si="91"/>
        <v>2300</v>
      </c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56"/>
    </row>
    <row r="1268" spans="1:22" x14ac:dyDescent="0.25">
      <c r="A1268" s="25">
        <v>1257</v>
      </c>
      <c r="B1268" s="23"/>
      <c r="C1268" s="11" t="s">
        <v>787</v>
      </c>
      <c r="D1268" s="23"/>
      <c r="E1268" s="8">
        <v>4</v>
      </c>
      <c r="F1268" s="23" t="s">
        <v>567</v>
      </c>
      <c r="G1268" s="127">
        <v>77</v>
      </c>
      <c r="H1268" s="165">
        <f t="shared" si="91"/>
        <v>308</v>
      </c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56"/>
    </row>
    <row r="1269" spans="1:22" x14ac:dyDescent="0.25">
      <c r="A1269" s="25">
        <v>1258</v>
      </c>
      <c r="B1269" s="23"/>
      <c r="C1269" s="11" t="s">
        <v>788</v>
      </c>
      <c r="D1269" s="23"/>
      <c r="E1269" s="8">
        <v>115</v>
      </c>
      <c r="F1269" s="2" t="s">
        <v>152</v>
      </c>
      <c r="G1269" s="127">
        <v>25</v>
      </c>
      <c r="H1269" s="165">
        <f t="shared" si="91"/>
        <v>2875</v>
      </c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56"/>
    </row>
    <row r="1270" spans="1:22" x14ac:dyDescent="0.25">
      <c r="A1270" s="25">
        <v>1259</v>
      </c>
      <c r="B1270" s="23"/>
      <c r="C1270" s="11" t="s">
        <v>756</v>
      </c>
      <c r="D1270" s="23"/>
      <c r="E1270" s="8">
        <v>2</v>
      </c>
      <c r="F1270" s="23" t="s">
        <v>567</v>
      </c>
      <c r="G1270" s="127">
        <v>115</v>
      </c>
      <c r="H1270" s="165">
        <f t="shared" si="91"/>
        <v>230</v>
      </c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56"/>
    </row>
    <row r="1271" spans="1:22" x14ac:dyDescent="0.25">
      <c r="A1271" s="25">
        <v>1260</v>
      </c>
      <c r="B1271" s="23"/>
      <c r="C1271" s="11" t="s">
        <v>1085</v>
      </c>
      <c r="D1271" s="23"/>
      <c r="E1271" s="8">
        <v>20</v>
      </c>
      <c r="F1271" s="2" t="s">
        <v>152</v>
      </c>
      <c r="G1271" s="127">
        <v>120</v>
      </c>
      <c r="H1271" s="165">
        <f t="shared" si="91"/>
        <v>2400</v>
      </c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56"/>
    </row>
    <row r="1272" spans="1:22" x14ac:dyDescent="0.25">
      <c r="A1272" s="25">
        <v>1261</v>
      </c>
      <c r="B1272" s="23"/>
      <c r="C1272" s="11" t="s">
        <v>989</v>
      </c>
      <c r="D1272" s="23"/>
      <c r="E1272" s="8">
        <v>20</v>
      </c>
      <c r="F1272" s="23" t="s">
        <v>567</v>
      </c>
      <c r="G1272" s="127">
        <v>120</v>
      </c>
      <c r="H1272" s="165">
        <f t="shared" si="91"/>
        <v>2400</v>
      </c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56"/>
    </row>
    <row r="1273" spans="1:22" x14ac:dyDescent="0.25">
      <c r="A1273" s="25">
        <v>1262</v>
      </c>
      <c r="B1273" s="23"/>
      <c r="C1273" s="11" t="s">
        <v>1086</v>
      </c>
      <c r="D1273" s="23"/>
      <c r="E1273" s="8">
        <v>20</v>
      </c>
      <c r="F1273" s="23" t="s">
        <v>567</v>
      </c>
      <c r="G1273" s="127">
        <v>150</v>
      </c>
      <c r="H1273" s="165">
        <f t="shared" si="91"/>
        <v>3000</v>
      </c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56"/>
    </row>
    <row r="1274" spans="1:22" x14ac:dyDescent="0.25">
      <c r="A1274" s="25">
        <v>1263</v>
      </c>
      <c r="B1274" s="23"/>
      <c r="C1274" s="11" t="s">
        <v>794</v>
      </c>
      <c r="D1274" s="23"/>
      <c r="E1274" s="8">
        <v>110</v>
      </c>
      <c r="F1274" s="23" t="s">
        <v>567</v>
      </c>
      <c r="G1274" s="127">
        <v>50</v>
      </c>
      <c r="H1274" s="165">
        <f t="shared" si="91"/>
        <v>5500</v>
      </c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56"/>
    </row>
    <row r="1275" spans="1:22" x14ac:dyDescent="0.25">
      <c r="A1275" s="25">
        <v>1264</v>
      </c>
      <c r="B1275" s="23"/>
      <c r="C1275" s="11" t="s">
        <v>795</v>
      </c>
      <c r="D1275" s="23"/>
      <c r="E1275" s="8">
        <v>5</v>
      </c>
      <c r="F1275" s="23" t="s">
        <v>567</v>
      </c>
      <c r="G1275" s="127">
        <v>520</v>
      </c>
      <c r="H1275" s="165">
        <f t="shared" si="91"/>
        <v>2600</v>
      </c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56"/>
    </row>
    <row r="1276" spans="1:22" x14ac:dyDescent="0.25">
      <c r="A1276" s="25">
        <v>1265</v>
      </c>
      <c r="B1276" s="23"/>
      <c r="C1276" s="11" t="s">
        <v>385</v>
      </c>
      <c r="D1276" s="23"/>
      <c r="E1276" s="8">
        <v>8</v>
      </c>
      <c r="F1276" s="2" t="s">
        <v>152</v>
      </c>
      <c r="G1276" s="127">
        <v>749</v>
      </c>
      <c r="H1276" s="165">
        <f t="shared" si="91"/>
        <v>5992</v>
      </c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56"/>
    </row>
    <row r="1277" spans="1:22" x14ac:dyDescent="0.25">
      <c r="A1277" s="25">
        <v>1266</v>
      </c>
      <c r="B1277" s="23"/>
      <c r="C1277" s="14"/>
      <c r="D1277" s="23"/>
      <c r="E1277" s="84"/>
      <c r="F1277" s="23"/>
      <c r="G1277" s="165"/>
      <c r="H1277" s="165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56"/>
    </row>
    <row r="1278" spans="1:22" ht="30" x14ac:dyDescent="0.25">
      <c r="A1278" s="25">
        <v>1267</v>
      </c>
      <c r="B1278" s="89" t="s">
        <v>111</v>
      </c>
      <c r="C1278" s="90" t="s">
        <v>106</v>
      </c>
      <c r="D1278" s="89" t="s">
        <v>27</v>
      </c>
      <c r="E1278" s="89"/>
      <c r="F1278" s="89"/>
      <c r="G1278" s="163"/>
      <c r="H1278" s="167">
        <v>406525</v>
      </c>
      <c r="I1278" s="89" t="s">
        <v>93</v>
      </c>
      <c r="J1278" s="60"/>
      <c r="K1278" s="60"/>
      <c r="L1278" s="60"/>
      <c r="M1278" s="60">
        <v>2</v>
      </c>
      <c r="N1278" s="60"/>
      <c r="O1278" s="60"/>
      <c r="P1278" s="60">
        <v>3</v>
      </c>
      <c r="Q1278" s="60"/>
      <c r="R1278" s="60"/>
      <c r="S1278" s="60"/>
      <c r="T1278" s="60"/>
      <c r="U1278" s="60"/>
      <c r="V1278" s="56"/>
    </row>
    <row r="1279" spans="1:22" x14ac:dyDescent="0.25">
      <c r="A1279" s="25">
        <v>1268</v>
      </c>
      <c r="B1279" s="23"/>
      <c r="C1279" s="14" t="s">
        <v>1071</v>
      </c>
      <c r="D1279" s="23"/>
      <c r="E1279" s="84"/>
      <c r="F1279" s="23"/>
      <c r="G1279" s="165"/>
      <c r="H1279" s="165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56"/>
    </row>
    <row r="1280" spans="1:22" x14ac:dyDescent="0.25">
      <c r="A1280" s="25">
        <v>1269</v>
      </c>
      <c r="B1280" s="23"/>
      <c r="C1280" s="1" t="s">
        <v>375</v>
      </c>
      <c r="D1280" s="23"/>
      <c r="E1280" s="8">
        <f>25*3</f>
        <v>75</v>
      </c>
      <c r="F1280" s="36" t="s">
        <v>357</v>
      </c>
      <c r="G1280" s="53">
        <v>270</v>
      </c>
      <c r="H1280" s="165">
        <f>G1280*E1280</f>
        <v>20250</v>
      </c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56"/>
    </row>
    <row r="1281" spans="1:22" x14ac:dyDescent="0.25">
      <c r="A1281" s="25">
        <v>1270</v>
      </c>
      <c r="B1281" s="23"/>
      <c r="C1281" s="1" t="s">
        <v>1062</v>
      </c>
      <c r="D1281" s="23"/>
      <c r="E1281" s="8">
        <f>150*3</f>
        <v>450</v>
      </c>
      <c r="F1281" s="36" t="s">
        <v>152</v>
      </c>
      <c r="G1281" s="53">
        <v>7</v>
      </c>
      <c r="H1281" s="165">
        <f t="shared" ref="H1281:H1287" si="92">G1281*E1281</f>
        <v>3150</v>
      </c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56"/>
    </row>
    <row r="1282" spans="1:22" x14ac:dyDescent="0.25">
      <c r="A1282" s="25">
        <v>1271</v>
      </c>
      <c r="B1282" s="23"/>
      <c r="C1282" s="1" t="s">
        <v>1063</v>
      </c>
      <c r="D1282" s="23"/>
      <c r="E1282" s="8">
        <f>6*3</f>
        <v>18</v>
      </c>
      <c r="F1282" s="36" t="s">
        <v>567</v>
      </c>
      <c r="G1282" s="53">
        <v>718</v>
      </c>
      <c r="H1282" s="165">
        <f t="shared" si="92"/>
        <v>12924</v>
      </c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56"/>
    </row>
    <row r="1283" spans="1:22" x14ac:dyDescent="0.25">
      <c r="A1283" s="25">
        <v>1272</v>
      </c>
      <c r="B1283" s="23"/>
      <c r="C1283" s="1" t="s">
        <v>383</v>
      </c>
      <c r="D1283" s="23"/>
      <c r="E1283" s="8">
        <f>4*3</f>
        <v>12</v>
      </c>
      <c r="F1283" s="36" t="s">
        <v>567</v>
      </c>
      <c r="G1283" s="53">
        <v>110.33333</v>
      </c>
      <c r="H1283" s="165">
        <f t="shared" si="92"/>
        <v>1323.9999600000001</v>
      </c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56"/>
    </row>
    <row r="1284" spans="1:22" x14ac:dyDescent="0.25">
      <c r="A1284" s="25">
        <v>1273</v>
      </c>
      <c r="B1284" s="23"/>
      <c r="C1284" s="1" t="s">
        <v>415</v>
      </c>
      <c r="D1284" s="23"/>
      <c r="E1284" s="8">
        <f>5*3</f>
        <v>15</v>
      </c>
      <c r="F1284" s="36" t="s">
        <v>567</v>
      </c>
      <c r="G1284" s="53">
        <v>50</v>
      </c>
      <c r="H1284" s="165">
        <f t="shared" si="92"/>
        <v>750</v>
      </c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56"/>
    </row>
    <row r="1285" spans="1:22" x14ac:dyDescent="0.25">
      <c r="A1285" s="25">
        <v>1274</v>
      </c>
      <c r="B1285" s="23"/>
      <c r="C1285" s="1" t="s">
        <v>1064</v>
      </c>
      <c r="D1285" s="23"/>
      <c r="E1285" s="8">
        <f>2*3</f>
        <v>6</v>
      </c>
      <c r="F1285" s="36" t="s">
        <v>152</v>
      </c>
      <c r="G1285" s="53">
        <v>520</v>
      </c>
      <c r="H1285" s="165">
        <f t="shared" si="92"/>
        <v>3120</v>
      </c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56"/>
    </row>
    <row r="1286" spans="1:22" x14ac:dyDescent="0.25">
      <c r="A1286" s="25">
        <v>1275</v>
      </c>
      <c r="B1286" s="23"/>
      <c r="C1286" s="21" t="s">
        <v>1065</v>
      </c>
      <c r="D1286" s="23"/>
      <c r="E1286" s="8">
        <f>20*3</f>
        <v>60</v>
      </c>
      <c r="F1286" s="36" t="s">
        <v>152</v>
      </c>
      <c r="G1286" s="53">
        <v>15</v>
      </c>
      <c r="H1286" s="165">
        <f t="shared" si="92"/>
        <v>900</v>
      </c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56"/>
    </row>
    <row r="1287" spans="1:22" x14ac:dyDescent="0.25">
      <c r="A1287" s="25">
        <v>1276</v>
      </c>
      <c r="B1287" s="23"/>
      <c r="C1287" s="21" t="s">
        <v>1020</v>
      </c>
      <c r="D1287" s="23"/>
      <c r="E1287" s="8">
        <f>20*3</f>
        <v>60</v>
      </c>
      <c r="F1287" s="36" t="s">
        <v>152</v>
      </c>
      <c r="G1287" s="53">
        <v>20</v>
      </c>
      <c r="H1287" s="165">
        <f t="shared" si="92"/>
        <v>1200</v>
      </c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56"/>
    </row>
    <row r="1288" spans="1:22" x14ac:dyDescent="0.25">
      <c r="A1288" s="25">
        <v>1277</v>
      </c>
      <c r="B1288" s="23"/>
      <c r="C1288" s="14" t="s">
        <v>1072</v>
      </c>
      <c r="D1288" s="23"/>
      <c r="E1288" s="8"/>
      <c r="F1288" s="36"/>
      <c r="G1288" s="53"/>
      <c r="H1288" s="165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56"/>
    </row>
    <row r="1289" spans="1:22" x14ac:dyDescent="0.25">
      <c r="A1289" s="25">
        <v>1278</v>
      </c>
      <c r="B1289" s="23"/>
      <c r="C1289" s="32" t="s">
        <v>1066</v>
      </c>
      <c r="D1289" s="23"/>
      <c r="E1289" s="37">
        <f>300*3</f>
        <v>900</v>
      </c>
      <c r="F1289" s="38" t="s">
        <v>152</v>
      </c>
      <c r="G1289" s="101">
        <v>140</v>
      </c>
      <c r="H1289" s="165">
        <f>G1289*E1289</f>
        <v>126000</v>
      </c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56"/>
    </row>
    <row r="1290" spans="1:22" x14ac:dyDescent="0.25">
      <c r="A1290" s="25">
        <v>1279</v>
      </c>
      <c r="B1290" s="23"/>
      <c r="C1290" s="32" t="s">
        <v>1067</v>
      </c>
      <c r="D1290" s="23"/>
      <c r="E1290" s="33">
        <f>300*3</f>
        <v>900</v>
      </c>
      <c r="F1290" s="23" t="s">
        <v>152</v>
      </c>
      <c r="G1290" s="73">
        <v>10</v>
      </c>
      <c r="H1290" s="165">
        <f t="shared" ref="H1290:H1297" si="93">G1290*E1290</f>
        <v>9000</v>
      </c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56"/>
    </row>
    <row r="1291" spans="1:22" x14ac:dyDescent="0.25">
      <c r="A1291" s="25">
        <v>1280</v>
      </c>
      <c r="B1291" s="23"/>
      <c r="C1291" s="32" t="s">
        <v>1068</v>
      </c>
      <c r="D1291" s="23"/>
      <c r="E1291" s="33">
        <f>300*3</f>
        <v>900</v>
      </c>
      <c r="F1291" s="23" t="s">
        <v>152</v>
      </c>
      <c r="G1291" s="73">
        <v>26</v>
      </c>
      <c r="H1291" s="165">
        <f t="shared" si="93"/>
        <v>23400</v>
      </c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56"/>
    </row>
    <row r="1292" spans="1:22" x14ac:dyDescent="0.25">
      <c r="A1292" s="25">
        <v>1281</v>
      </c>
      <c r="B1292" s="23"/>
      <c r="C1292" s="32" t="s">
        <v>375</v>
      </c>
      <c r="D1292" s="23"/>
      <c r="E1292" s="33">
        <f>20*3</f>
        <v>60</v>
      </c>
      <c r="F1292" s="23" t="s">
        <v>357</v>
      </c>
      <c r="G1292" s="73">
        <v>270</v>
      </c>
      <c r="H1292" s="165">
        <f t="shared" si="93"/>
        <v>16200</v>
      </c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56"/>
    </row>
    <row r="1293" spans="1:22" x14ac:dyDescent="0.25">
      <c r="A1293" s="25">
        <v>1282</v>
      </c>
      <c r="B1293" s="23"/>
      <c r="C1293" s="32" t="s">
        <v>776</v>
      </c>
      <c r="D1293" s="23"/>
      <c r="E1293" s="33">
        <v>3</v>
      </c>
      <c r="F1293" s="23" t="s">
        <v>152</v>
      </c>
      <c r="G1293" s="73">
        <v>500</v>
      </c>
      <c r="H1293" s="165">
        <f t="shared" si="93"/>
        <v>1500</v>
      </c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56"/>
    </row>
    <row r="1294" spans="1:22" x14ac:dyDescent="0.25">
      <c r="A1294" s="25">
        <v>1283</v>
      </c>
      <c r="B1294" s="23"/>
      <c r="C1294" s="1" t="s">
        <v>1064</v>
      </c>
      <c r="D1294" s="23"/>
      <c r="E1294" s="33">
        <v>3</v>
      </c>
      <c r="F1294" s="23" t="s">
        <v>152</v>
      </c>
      <c r="G1294" s="53">
        <v>465</v>
      </c>
      <c r="H1294" s="165">
        <f t="shared" si="93"/>
        <v>1395</v>
      </c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56"/>
    </row>
    <row r="1295" spans="1:22" x14ac:dyDescent="0.25">
      <c r="A1295" s="25">
        <v>1284</v>
      </c>
      <c r="B1295" s="23"/>
      <c r="C1295" s="32" t="s">
        <v>353</v>
      </c>
      <c r="D1295" s="23"/>
      <c r="E1295" s="33">
        <v>3</v>
      </c>
      <c r="F1295" s="23" t="s">
        <v>358</v>
      </c>
      <c r="G1295" s="73">
        <v>500</v>
      </c>
      <c r="H1295" s="165">
        <f t="shared" si="93"/>
        <v>1500</v>
      </c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56"/>
    </row>
    <row r="1296" spans="1:22" x14ac:dyDescent="0.25">
      <c r="A1296" s="25">
        <v>1285</v>
      </c>
      <c r="B1296" s="23"/>
      <c r="C1296" s="32" t="s">
        <v>824</v>
      </c>
      <c r="D1296" s="23"/>
      <c r="E1296" s="33">
        <f>2*3</f>
        <v>6</v>
      </c>
      <c r="F1296" s="23" t="s">
        <v>567</v>
      </c>
      <c r="G1296" s="73">
        <v>152</v>
      </c>
      <c r="H1296" s="165">
        <f t="shared" si="93"/>
        <v>912</v>
      </c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56"/>
    </row>
    <row r="1297" spans="1:22" x14ac:dyDescent="0.25">
      <c r="A1297" s="25">
        <v>1286</v>
      </c>
      <c r="B1297" s="23"/>
      <c r="C1297" s="32" t="s">
        <v>1069</v>
      </c>
      <c r="D1297" s="23"/>
      <c r="E1297" s="33">
        <v>3</v>
      </c>
      <c r="F1297" s="23" t="s">
        <v>152</v>
      </c>
      <c r="G1297" s="73">
        <v>1000</v>
      </c>
      <c r="H1297" s="165">
        <f t="shared" si="93"/>
        <v>3000</v>
      </c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56"/>
    </row>
    <row r="1298" spans="1:22" x14ac:dyDescent="0.25">
      <c r="A1298" s="25">
        <v>1287</v>
      </c>
      <c r="B1298" s="23"/>
      <c r="C1298" s="39" t="s">
        <v>1070</v>
      </c>
      <c r="D1298" s="23"/>
      <c r="E1298" s="37">
        <f>150*2</f>
        <v>300</v>
      </c>
      <c r="F1298" s="38" t="s">
        <v>152</v>
      </c>
      <c r="G1298" s="40">
        <v>600</v>
      </c>
      <c r="H1298" s="165">
        <f>G1298*E1298</f>
        <v>180000</v>
      </c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56"/>
    </row>
    <row r="1299" spans="1:22" x14ac:dyDescent="0.25">
      <c r="A1299" s="25">
        <v>1288</v>
      </c>
      <c r="B1299" s="23"/>
      <c r="C1299" s="14"/>
      <c r="D1299" s="23"/>
      <c r="E1299" s="84"/>
      <c r="F1299" s="23"/>
      <c r="G1299" s="165"/>
      <c r="H1299" s="165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56"/>
    </row>
    <row r="1300" spans="1:22" ht="30" x14ac:dyDescent="0.25">
      <c r="A1300" s="25">
        <v>1289</v>
      </c>
      <c r="B1300" s="89" t="s">
        <v>111</v>
      </c>
      <c r="C1300" s="90" t="s">
        <v>102</v>
      </c>
      <c r="D1300" s="89" t="s">
        <v>27</v>
      </c>
      <c r="E1300" s="89"/>
      <c r="F1300" s="89"/>
      <c r="G1300" s="163"/>
      <c r="H1300" s="167">
        <v>66920</v>
      </c>
      <c r="I1300" s="89" t="s">
        <v>93</v>
      </c>
      <c r="J1300" s="60">
        <v>1</v>
      </c>
      <c r="K1300" s="60">
        <v>1</v>
      </c>
      <c r="L1300" s="60">
        <v>1</v>
      </c>
      <c r="M1300" s="60">
        <v>1</v>
      </c>
      <c r="N1300" s="60">
        <v>1</v>
      </c>
      <c r="O1300" s="60">
        <v>1</v>
      </c>
      <c r="P1300" s="60">
        <v>1</v>
      </c>
      <c r="Q1300" s="60">
        <v>1</v>
      </c>
      <c r="R1300" s="60">
        <v>1</v>
      </c>
      <c r="S1300" s="60">
        <v>1</v>
      </c>
      <c r="T1300" s="60">
        <v>1</v>
      </c>
      <c r="U1300" s="60">
        <v>1</v>
      </c>
      <c r="V1300" s="56"/>
    </row>
    <row r="1301" spans="1:22" x14ac:dyDescent="0.25">
      <c r="A1301" s="25">
        <v>1290</v>
      </c>
      <c r="B1301" s="23"/>
      <c r="C1301" s="1" t="s">
        <v>752</v>
      </c>
      <c r="D1301" s="23"/>
      <c r="E1301" s="8">
        <v>18</v>
      </c>
      <c r="F1301" s="8" t="s">
        <v>290</v>
      </c>
      <c r="G1301" s="49">
        <v>350</v>
      </c>
      <c r="H1301" s="165">
        <f>G1301*E1301</f>
        <v>6300</v>
      </c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56"/>
    </row>
    <row r="1302" spans="1:22" x14ac:dyDescent="0.25">
      <c r="A1302" s="25">
        <v>1291</v>
      </c>
      <c r="B1302" s="23"/>
      <c r="C1302" s="1" t="s">
        <v>376</v>
      </c>
      <c r="D1302" s="23"/>
      <c r="E1302" s="8">
        <v>18</v>
      </c>
      <c r="F1302" s="8" t="s">
        <v>290</v>
      </c>
      <c r="G1302" s="49">
        <v>410</v>
      </c>
      <c r="H1302" s="165">
        <f t="shared" ref="H1302:H1318" si="94">G1302*E1302</f>
        <v>7380</v>
      </c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56"/>
    </row>
    <row r="1303" spans="1:22" x14ac:dyDescent="0.25">
      <c r="A1303" s="25">
        <v>1292</v>
      </c>
      <c r="B1303" s="23"/>
      <c r="C1303" s="1" t="s">
        <v>378</v>
      </c>
      <c r="D1303" s="23"/>
      <c r="E1303" s="8">
        <v>181</v>
      </c>
      <c r="F1303" s="8" t="s">
        <v>152</v>
      </c>
      <c r="G1303" s="49">
        <v>50</v>
      </c>
      <c r="H1303" s="165">
        <f t="shared" si="94"/>
        <v>9050</v>
      </c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56"/>
    </row>
    <row r="1304" spans="1:22" x14ac:dyDescent="0.25">
      <c r="A1304" s="25">
        <v>1293</v>
      </c>
      <c r="B1304" s="23"/>
      <c r="C1304" s="1" t="s">
        <v>379</v>
      </c>
      <c r="D1304" s="23"/>
      <c r="E1304" s="8">
        <v>180</v>
      </c>
      <c r="F1304" s="8" t="s">
        <v>152</v>
      </c>
      <c r="G1304" s="49">
        <v>35</v>
      </c>
      <c r="H1304" s="165">
        <f t="shared" si="94"/>
        <v>6300</v>
      </c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56"/>
    </row>
    <row r="1305" spans="1:22" x14ac:dyDescent="0.25">
      <c r="A1305" s="25">
        <v>1294</v>
      </c>
      <c r="B1305" s="23"/>
      <c r="C1305" s="1" t="s">
        <v>753</v>
      </c>
      <c r="D1305" s="23"/>
      <c r="E1305" s="8">
        <v>180</v>
      </c>
      <c r="F1305" s="8" t="s">
        <v>152</v>
      </c>
      <c r="G1305" s="49">
        <v>25</v>
      </c>
      <c r="H1305" s="165">
        <f t="shared" si="94"/>
        <v>4500</v>
      </c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56"/>
    </row>
    <row r="1306" spans="1:22" x14ac:dyDescent="0.25">
      <c r="A1306" s="25">
        <v>1295</v>
      </c>
      <c r="B1306" s="23"/>
      <c r="C1306" s="1" t="s">
        <v>754</v>
      </c>
      <c r="D1306" s="23"/>
      <c r="E1306" s="8">
        <v>180</v>
      </c>
      <c r="F1306" s="8" t="s">
        <v>152</v>
      </c>
      <c r="G1306" s="49">
        <v>20</v>
      </c>
      <c r="H1306" s="165">
        <f t="shared" si="94"/>
        <v>3600</v>
      </c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56"/>
    </row>
    <row r="1307" spans="1:22" x14ac:dyDescent="0.25">
      <c r="A1307" s="25">
        <v>1296</v>
      </c>
      <c r="B1307" s="23"/>
      <c r="C1307" s="1" t="s">
        <v>381</v>
      </c>
      <c r="D1307" s="23"/>
      <c r="E1307" s="8">
        <v>36</v>
      </c>
      <c r="F1307" s="8" t="s">
        <v>152</v>
      </c>
      <c r="G1307" s="49">
        <v>30</v>
      </c>
      <c r="H1307" s="165">
        <f t="shared" si="94"/>
        <v>1080</v>
      </c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56"/>
    </row>
    <row r="1308" spans="1:22" x14ac:dyDescent="0.25">
      <c r="A1308" s="25">
        <v>1297</v>
      </c>
      <c r="B1308" s="23"/>
      <c r="C1308" s="1" t="s">
        <v>382</v>
      </c>
      <c r="D1308" s="23"/>
      <c r="E1308" s="8">
        <v>36</v>
      </c>
      <c r="F1308" s="8" t="s">
        <v>152</v>
      </c>
      <c r="G1308" s="49">
        <v>150</v>
      </c>
      <c r="H1308" s="165">
        <f t="shared" si="94"/>
        <v>5400</v>
      </c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56"/>
    </row>
    <row r="1309" spans="1:22" x14ac:dyDescent="0.25">
      <c r="A1309" s="25">
        <v>1298</v>
      </c>
      <c r="B1309" s="23"/>
      <c r="C1309" s="1" t="s">
        <v>383</v>
      </c>
      <c r="D1309" s="23"/>
      <c r="E1309" s="8">
        <v>36</v>
      </c>
      <c r="F1309" s="8" t="s">
        <v>152</v>
      </c>
      <c r="G1309" s="49">
        <v>15</v>
      </c>
      <c r="H1309" s="165">
        <f t="shared" si="94"/>
        <v>540</v>
      </c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56"/>
    </row>
    <row r="1310" spans="1:22" x14ac:dyDescent="0.25">
      <c r="A1310" s="25">
        <v>1299</v>
      </c>
      <c r="B1310" s="23"/>
      <c r="C1310" s="1" t="s">
        <v>755</v>
      </c>
      <c r="D1310" s="23"/>
      <c r="E1310" s="8">
        <v>18</v>
      </c>
      <c r="F1310" s="8" t="s">
        <v>152</v>
      </c>
      <c r="G1310" s="49">
        <v>400</v>
      </c>
      <c r="H1310" s="165">
        <f t="shared" si="94"/>
        <v>7200</v>
      </c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56"/>
    </row>
    <row r="1311" spans="1:22" x14ac:dyDescent="0.25">
      <c r="A1311" s="25">
        <v>1300</v>
      </c>
      <c r="B1311" s="23"/>
      <c r="C1311" s="1" t="s">
        <v>756</v>
      </c>
      <c r="D1311" s="23"/>
      <c r="E1311" s="8">
        <v>18</v>
      </c>
      <c r="F1311" s="23" t="s">
        <v>567</v>
      </c>
      <c r="G1311" s="49">
        <v>120</v>
      </c>
      <c r="H1311" s="165">
        <f t="shared" si="94"/>
        <v>2160</v>
      </c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56"/>
    </row>
    <row r="1312" spans="1:22" x14ac:dyDescent="0.25">
      <c r="A1312" s="25">
        <v>1301</v>
      </c>
      <c r="B1312" s="23"/>
      <c r="C1312" s="1" t="s">
        <v>757</v>
      </c>
      <c r="D1312" s="23"/>
      <c r="E1312" s="8">
        <v>18</v>
      </c>
      <c r="F1312" s="8" t="s">
        <v>152</v>
      </c>
      <c r="G1312" s="49">
        <v>70</v>
      </c>
      <c r="H1312" s="165">
        <f t="shared" si="94"/>
        <v>1260</v>
      </c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56"/>
    </row>
    <row r="1313" spans="1:22" x14ac:dyDescent="0.25">
      <c r="A1313" s="25">
        <v>1302</v>
      </c>
      <c r="B1313" s="23"/>
      <c r="C1313" s="1" t="s">
        <v>415</v>
      </c>
      <c r="D1313" s="23"/>
      <c r="E1313" s="8">
        <v>18</v>
      </c>
      <c r="F1313" s="23" t="s">
        <v>567</v>
      </c>
      <c r="G1313" s="49">
        <v>100</v>
      </c>
      <c r="H1313" s="165">
        <f t="shared" si="94"/>
        <v>1800</v>
      </c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56"/>
    </row>
    <row r="1314" spans="1:22" x14ac:dyDescent="0.25">
      <c r="A1314" s="25">
        <v>1303</v>
      </c>
      <c r="B1314" s="23"/>
      <c r="C1314" s="1" t="s">
        <v>758</v>
      </c>
      <c r="D1314" s="23"/>
      <c r="E1314" s="8">
        <v>18</v>
      </c>
      <c r="F1314" s="8" t="s">
        <v>765</v>
      </c>
      <c r="G1314" s="49">
        <v>100</v>
      </c>
      <c r="H1314" s="165">
        <f t="shared" si="94"/>
        <v>1800</v>
      </c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56"/>
    </row>
    <row r="1315" spans="1:22" x14ac:dyDescent="0.25">
      <c r="A1315" s="25">
        <v>1304</v>
      </c>
      <c r="B1315" s="23"/>
      <c r="C1315" s="1" t="s">
        <v>440</v>
      </c>
      <c r="D1315" s="23"/>
      <c r="E1315" s="8">
        <v>18</v>
      </c>
      <c r="F1315" s="8" t="s">
        <v>152</v>
      </c>
      <c r="G1315" s="49">
        <v>100</v>
      </c>
      <c r="H1315" s="165">
        <f t="shared" si="94"/>
        <v>1800</v>
      </c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56"/>
    </row>
    <row r="1316" spans="1:22" x14ac:dyDescent="0.25">
      <c r="A1316" s="25">
        <v>1305</v>
      </c>
      <c r="B1316" s="23"/>
      <c r="C1316" s="1" t="s">
        <v>759</v>
      </c>
      <c r="D1316" s="23"/>
      <c r="E1316" s="8">
        <v>18</v>
      </c>
      <c r="F1316" s="8" t="s">
        <v>152</v>
      </c>
      <c r="G1316" s="49">
        <v>125</v>
      </c>
      <c r="H1316" s="165">
        <f t="shared" si="94"/>
        <v>2250</v>
      </c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56"/>
    </row>
    <row r="1317" spans="1:22" x14ac:dyDescent="0.25">
      <c r="A1317" s="25">
        <v>1306</v>
      </c>
      <c r="B1317" s="23"/>
      <c r="C1317" s="1" t="s">
        <v>760</v>
      </c>
      <c r="D1317" s="23"/>
      <c r="E1317" s="8">
        <v>18</v>
      </c>
      <c r="F1317" s="23" t="s">
        <v>567</v>
      </c>
      <c r="G1317" s="49">
        <v>60</v>
      </c>
      <c r="H1317" s="165">
        <f t="shared" si="94"/>
        <v>1080</v>
      </c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56"/>
    </row>
    <row r="1318" spans="1:22" x14ac:dyDescent="0.25">
      <c r="A1318" s="25">
        <v>1307</v>
      </c>
      <c r="B1318" s="23"/>
      <c r="C1318" s="1" t="s">
        <v>444</v>
      </c>
      <c r="D1318" s="23"/>
      <c r="E1318" s="8">
        <v>18</v>
      </c>
      <c r="F1318" s="8" t="s">
        <v>152</v>
      </c>
      <c r="G1318" s="49">
        <v>190</v>
      </c>
      <c r="H1318" s="165">
        <f t="shared" si="94"/>
        <v>3420</v>
      </c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56"/>
    </row>
    <row r="1319" spans="1:22" x14ac:dyDescent="0.25">
      <c r="A1319" s="25">
        <v>1308</v>
      </c>
      <c r="B1319" s="23"/>
      <c r="C1319" s="1"/>
      <c r="D1319" s="23"/>
      <c r="E1319" s="84"/>
      <c r="F1319" s="23"/>
      <c r="G1319" s="165"/>
      <c r="H1319" s="165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56"/>
    </row>
    <row r="1320" spans="1:22" ht="30" x14ac:dyDescent="0.25">
      <c r="A1320" s="25">
        <v>1309</v>
      </c>
      <c r="B1320" s="89" t="s">
        <v>111</v>
      </c>
      <c r="C1320" s="90" t="s">
        <v>36</v>
      </c>
      <c r="D1320" s="89" t="s">
        <v>27</v>
      </c>
      <c r="E1320" s="89"/>
      <c r="F1320" s="89"/>
      <c r="G1320" s="163"/>
      <c r="H1320" s="167">
        <v>245207</v>
      </c>
      <c r="I1320" s="89" t="s">
        <v>93</v>
      </c>
      <c r="J1320" s="60"/>
      <c r="K1320" s="60"/>
      <c r="L1320" s="60"/>
      <c r="M1320" s="60">
        <v>1</v>
      </c>
      <c r="N1320" s="60"/>
      <c r="O1320" s="60"/>
      <c r="P1320" s="60">
        <v>2</v>
      </c>
      <c r="Q1320" s="60"/>
      <c r="R1320" s="60"/>
      <c r="S1320" s="60">
        <v>2</v>
      </c>
      <c r="T1320" s="60">
        <v>1</v>
      </c>
      <c r="U1320" s="60"/>
      <c r="V1320" s="56"/>
    </row>
    <row r="1321" spans="1:22" x14ac:dyDescent="0.25">
      <c r="A1321" s="25">
        <v>1310</v>
      </c>
      <c r="B1321" s="23"/>
      <c r="C1321" s="11" t="s">
        <v>786</v>
      </c>
      <c r="D1321" s="8"/>
      <c r="E1321" s="2">
        <f>6*3</f>
        <v>18</v>
      </c>
      <c r="F1321" s="23" t="s">
        <v>567</v>
      </c>
      <c r="G1321" s="24">
        <v>1300</v>
      </c>
      <c r="H1321" s="165">
        <f>G1321*E1321</f>
        <v>23400</v>
      </c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56"/>
    </row>
    <row r="1322" spans="1:22" x14ac:dyDescent="0.25">
      <c r="A1322" s="25">
        <v>1311</v>
      </c>
      <c r="B1322" s="23"/>
      <c r="C1322" s="11" t="s">
        <v>383</v>
      </c>
      <c r="D1322" s="8"/>
      <c r="E1322" s="2">
        <f>4*3</f>
        <v>12</v>
      </c>
      <c r="F1322" s="23" t="s">
        <v>567</v>
      </c>
      <c r="G1322" s="24">
        <v>145</v>
      </c>
      <c r="H1322" s="165">
        <f t="shared" ref="H1322:H1334" si="95">G1322*E1322</f>
        <v>1740</v>
      </c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56"/>
    </row>
    <row r="1323" spans="1:22" x14ac:dyDescent="0.25">
      <c r="A1323" s="25">
        <v>1312</v>
      </c>
      <c r="B1323" s="23"/>
      <c r="C1323" s="11" t="s">
        <v>774</v>
      </c>
      <c r="D1323" s="8"/>
      <c r="E1323" s="2">
        <f>15*3</f>
        <v>45</v>
      </c>
      <c r="F1323" s="23" t="s">
        <v>567</v>
      </c>
      <c r="G1323" s="24">
        <v>310</v>
      </c>
      <c r="H1323" s="165">
        <f t="shared" si="95"/>
        <v>13950</v>
      </c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56"/>
    </row>
    <row r="1324" spans="1:22" x14ac:dyDescent="0.25">
      <c r="A1324" s="25">
        <v>1313</v>
      </c>
      <c r="B1324" s="23"/>
      <c r="C1324" s="11" t="s">
        <v>787</v>
      </c>
      <c r="D1324" s="8"/>
      <c r="E1324" s="2">
        <f>4*3</f>
        <v>12</v>
      </c>
      <c r="F1324" s="23" t="s">
        <v>567</v>
      </c>
      <c r="G1324" s="24">
        <v>88</v>
      </c>
      <c r="H1324" s="165">
        <f t="shared" si="95"/>
        <v>1056</v>
      </c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56"/>
    </row>
    <row r="1325" spans="1:22" x14ac:dyDescent="0.25">
      <c r="A1325" s="25">
        <v>1314</v>
      </c>
      <c r="B1325" s="23"/>
      <c r="C1325" s="11" t="s">
        <v>788</v>
      </c>
      <c r="D1325" s="8"/>
      <c r="E1325" s="2">
        <f>32*3</f>
        <v>96</v>
      </c>
      <c r="F1325" s="2" t="s">
        <v>152</v>
      </c>
      <c r="G1325" s="24">
        <v>25</v>
      </c>
      <c r="H1325" s="165">
        <f t="shared" si="95"/>
        <v>2400</v>
      </c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56"/>
    </row>
    <row r="1326" spans="1:22" x14ac:dyDescent="0.25">
      <c r="A1326" s="25">
        <v>1315</v>
      </c>
      <c r="B1326" s="23"/>
      <c r="C1326" s="11" t="s">
        <v>756</v>
      </c>
      <c r="D1326" s="8"/>
      <c r="E1326" s="2">
        <f>6*3</f>
        <v>18</v>
      </c>
      <c r="F1326" s="23" t="s">
        <v>567</v>
      </c>
      <c r="G1326" s="24">
        <v>115</v>
      </c>
      <c r="H1326" s="165">
        <f t="shared" si="95"/>
        <v>2070</v>
      </c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56"/>
    </row>
    <row r="1327" spans="1:22" x14ac:dyDescent="0.25">
      <c r="A1327" s="25">
        <v>1316</v>
      </c>
      <c r="B1327" s="23"/>
      <c r="C1327" s="11" t="s">
        <v>776</v>
      </c>
      <c r="D1327" s="8"/>
      <c r="E1327" s="2">
        <f>3*3</f>
        <v>9</v>
      </c>
      <c r="F1327" s="23" t="s">
        <v>567</v>
      </c>
      <c r="G1327" s="24">
        <v>285</v>
      </c>
      <c r="H1327" s="165">
        <f t="shared" si="95"/>
        <v>2565</v>
      </c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56"/>
    </row>
    <row r="1328" spans="1:22" x14ac:dyDescent="0.25">
      <c r="A1328" s="25">
        <v>1317</v>
      </c>
      <c r="B1328" s="23"/>
      <c r="C1328" s="11" t="s">
        <v>789</v>
      </c>
      <c r="D1328" s="8"/>
      <c r="E1328" s="2">
        <f>5*3</f>
        <v>15</v>
      </c>
      <c r="F1328" s="2" t="s">
        <v>152</v>
      </c>
      <c r="G1328" s="24">
        <v>126</v>
      </c>
      <c r="H1328" s="165">
        <f t="shared" si="95"/>
        <v>1890</v>
      </c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56"/>
    </row>
    <row r="1329" spans="1:22" x14ac:dyDescent="0.25">
      <c r="A1329" s="25">
        <v>1318</v>
      </c>
      <c r="B1329" s="23"/>
      <c r="C1329" s="11" t="s">
        <v>790</v>
      </c>
      <c r="D1329" s="8"/>
      <c r="E1329" s="2">
        <f>2*3</f>
        <v>6</v>
      </c>
      <c r="F1329" s="2" t="s">
        <v>152</v>
      </c>
      <c r="G1329" s="24">
        <v>185</v>
      </c>
      <c r="H1329" s="165">
        <f t="shared" si="95"/>
        <v>1110</v>
      </c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56"/>
    </row>
    <row r="1330" spans="1:22" x14ac:dyDescent="0.25">
      <c r="A1330" s="25">
        <v>1319</v>
      </c>
      <c r="B1330" s="23"/>
      <c r="C1330" s="11" t="s">
        <v>791</v>
      </c>
      <c r="D1330" s="8"/>
      <c r="E1330" s="2">
        <f>8*3</f>
        <v>24</v>
      </c>
      <c r="F1330" s="23" t="s">
        <v>567</v>
      </c>
      <c r="G1330" s="24">
        <v>375</v>
      </c>
      <c r="H1330" s="165">
        <f t="shared" si="95"/>
        <v>9000</v>
      </c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56"/>
    </row>
    <row r="1331" spans="1:22" x14ac:dyDescent="0.25">
      <c r="A1331" s="25">
        <v>1320</v>
      </c>
      <c r="B1331" s="23"/>
      <c r="C1331" s="11" t="s">
        <v>792</v>
      </c>
      <c r="D1331" s="8"/>
      <c r="E1331" s="2">
        <f>8*3</f>
        <v>24</v>
      </c>
      <c r="F1331" s="23" t="s">
        <v>567</v>
      </c>
      <c r="G1331" s="24">
        <v>65</v>
      </c>
      <c r="H1331" s="165">
        <f t="shared" si="95"/>
        <v>1560</v>
      </c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56"/>
    </row>
    <row r="1332" spans="1:22" x14ac:dyDescent="0.25">
      <c r="A1332" s="25">
        <v>1321</v>
      </c>
      <c r="B1332" s="23"/>
      <c r="C1332" s="11" t="s">
        <v>793</v>
      </c>
      <c r="D1332" s="8"/>
      <c r="E1332" s="2">
        <f>2*3</f>
        <v>6</v>
      </c>
      <c r="F1332" s="2" t="s">
        <v>152</v>
      </c>
      <c r="G1332" s="24">
        <v>143.33333300000001</v>
      </c>
      <c r="H1332" s="165">
        <f t="shared" si="95"/>
        <v>859.99999800000001</v>
      </c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56"/>
    </row>
    <row r="1333" spans="1:22" x14ac:dyDescent="0.25">
      <c r="A1333" s="25">
        <v>1322</v>
      </c>
      <c r="B1333" s="23"/>
      <c r="C1333" s="11" t="s">
        <v>385</v>
      </c>
      <c r="D1333" s="8"/>
      <c r="E1333" s="2">
        <f>7*3</f>
        <v>21</v>
      </c>
      <c r="F1333" s="2" t="s">
        <v>152</v>
      </c>
      <c r="G1333" s="24">
        <v>950</v>
      </c>
      <c r="H1333" s="165">
        <f t="shared" si="95"/>
        <v>19950</v>
      </c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56"/>
    </row>
    <row r="1334" spans="1:22" x14ac:dyDescent="0.25">
      <c r="A1334" s="25">
        <v>1323</v>
      </c>
      <c r="B1334" s="23"/>
      <c r="C1334" s="11" t="s">
        <v>794</v>
      </c>
      <c r="D1334" s="8"/>
      <c r="E1334" s="2">
        <f>2*3</f>
        <v>6</v>
      </c>
      <c r="F1334" s="23" t="s">
        <v>567</v>
      </c>
      <c r="G1334" s="24">
        <v>670</v>
      </c>
      <c r="H1334" s="165">
        <f t="shared" si="95"/>
        <v>4020</v>
      </c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56"/>
    </row>
    <row r="1335" spans="1:22" x14ac:dyDescent="0.25">
      <c r="A1335" s="25">
        <v>1324</v>
      </c>
      <c r="B1335" s="23"/>
      <c r="C1335" s="11" t="s">
        <v>795</v>
      </c>
      <c r="D1335" s="8"/>
      <c r="E1335" s="2">
        <f>4*3</f>
        <v>12</v>
      </c>
      <c r="F1335" s="23" t="s">
        <v>567</v>
      </c>
      <c r="G1335" s="24">
        <v>416</v>
      </c>
      <c r="H1335" s="165">
        <f>G1335*E1335</f>
        <v>4992</v>
      </c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56"/>
    </row>
    <row r="1336" spans="1:22" x14ac:dyDescent="0.25">
      <c r="A1336" s="25">
        <v>1325</v>
      </c>
      <c r="B1336" s="23"/>
      <c r="C1336" s="11" t="s">
        <v>786</v>
      </c>
      <c r="D1336" s="8"/>
      <c r="E1336" s="2">
        <f>2*263*2</f>
        <v>1052</v>
      </c>
      <c r="F1336" s="2" t="s">
        <v>152</v>
      </c>
      <c r="G1336" s="24">
        <v>2</v>
      </c>
      <c r="H1336" s="165">
        <f>G1336*E1336</f>
        <v>2104</v>
      </c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56"/>
    </row>
    <row r="1337" spans="1:22" x14ac:dyDescent="0.25">
      <c r="A1337" s="25">
        <v>1326</v>
      </c>
      <c r="B1337" s="23"/>
      <c r="C1337" s="11" t="s">
        <v>383</v>
      </c>
      <c r="D1337" s="23"/>
      <c r="E1337" s="2">
        <f>1*263*2</f>
        <v>526</v>
      </c>
      <c r="F1337" s="2" t="s">
        <v>152</v>
      </c>
      <c r="G1337" s="24">
        <v>13</v>
      </c>
      <c r="H1337" s="165">
        <f t="shared" ref="H1337:H1345" si="96">G1337*E1337</f>
        <v>6838</v>
      </c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56"/>
    </row>
    <row r="1338" spans="1:22" x14ac:dyDescent="0.25">
      <c r="A1338" s="25">
        <v>1327</v>
      </c>
      <c r="B1338" s="23"/>
      <c r="C1338" s="11" t="s">
        <v>490</v>
      </c>
      <c r="D1338" s="23"/>
      <c r="E1338" s="2">
        <f t="shared" ref="E1338:E1340" si="97">1*263*2</f>
        <v>526</v>
      </c>
      <c r="F1338" s="2" t="s">
        <v>152</v>
      </c>
      <c r="G1338" s="24">
        <v>11</v>
      </c>
      <c r="H1338" s="165">
        <f t="shared" si="96"/>
        <v>5786</v>
      </c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56"/>
    </row>
    <row r="1339" spans="1:22" x14ac:dyDescent="0.25">
      <c r="A1339" s="25">
        <v>1328</v>
      </c>
      <c r="B1339" s="23"/>
      <c r="C1339" s="11" t="s">
        <v>491</v>
      </c>
      <c r="D1339" s="23"/>
      <c r="E1339" s="2">
        <f t="shared" si="97"/>
        <v>526</v>
      </c>
      <c r="F1339" s="2" t="s">
        <v>152</v>
      </c>
      <c r="G1339" s="24">
        <v>10</v>
      </c>
      <c r="H1339" s="165">
        <f t="shared" si="96"/>
        <v>5260</v>
      </c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56"/>
    </row>
    <row r="1340" spans="1:22" x14ac:dyDescent="0.25">
      <c r="A1340" s="25">
        <v>1329</v>
      </c>
      <c r="B1340" s="23"/>
      <c r="C1340" s="11" t="s">
        <v>796</v>
      </c>
      <c r="D1340" s="23"/>
      <c r="E1340" s="2">
        <f t="shared" si="97"/>
        <v>526</v>
      </c>
      <c r="F1340" s="2" t="s">
        <v>152</v>
      </c>
      <c r="G1340" s="24">
        <v>135</v>
      </c>
      <c r="H1340" s="165">
        <f t="shared" si="96"/>
        <v>71010</v>
      </c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56"/>
    </row>
    <row r="1341" spans="1:22" x14ac:dyDescent="0.25">
      <c r="A1341" s="25">
        <v>1330</v>
      </c>
      <c r="B1341" s="23"/>
      <c r="C1341" s="1" t="s">
        <v>797</v>
      </c>
      <c r="D1341" s="23"/>
      <c r="E1341" s="2">
        <f>1*263*3</f>
        <v>789</v>
      </c>
      <c r="F1341" s="2" t="s">
        <v>152</v>
      </c>
      <c r="G1341" s="181">
        <v>8</v>
      </c>
      <c r="H1341" s="165">
        <f t="shared" si="96"/>
        <v>6312</v>
      </c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56"/>
    </row>
    <row r="1342" spans="1:22" x14ac:dyDescent="0.25">
      <c r="A1342" s="25">
        <v>1331</v>
      </c>
      <c r="B1342" s="23"/>
      <c r="C1342" s="1" t="s">
        <v>798</v>
      </c>
      <c r="D1342" s="23"/>
      <c r="E1342" s="2">
        <f t="shared" ref="E1342:E1345" si="98">1*263*3</f>
        <v>789</v>
      </c>
      <c r="F1342" s="2" t="s">
        <v>152</v>
      </c>
      <c r="G1342" s="181">
        <v>3</v>
      </c>
      <c r="H1342" s="165">
        <f t="shared" si="96"/>
        <v>2367</v>
      </c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56"/>
    </row>
    <row r="1343" spans="1:22" x14ac:dyDescent="0.25">
      <c r="A1343" s="25">
        <v>1332</v>
      </c>
      <c r="B1343" s="23"/>
      <c r="C1343" s="1" t="s">
        <v>799</v>
      </c>
      <c r="D1343" s="23"/>
      <c r="E1343" s="2">
        <f t="shared" si="98"/>
        <v>789</v>
      </c>
      <c r="F1343" s="2" t="s">
        <v>152</v>
      </c>
      <c r="G1343" s="181">
        <v>2</v>
      </c>
      <c r="H1343" s="165">
        <f t="shared" si="96"/>
        <v>1578</v>
      </c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56"/>
    </row>
    <row r="1344" spans="1:22" x14ac:dyDescent="0.25">
      <c r="A1344" s="25">
        <v>1333</v>
      </c>
      <c r="B1344" s="23"/>
      <c r="C1344" s="1" t="s">
        <v>800</v>
      </c>
      <c r="D1344" s="23"/>
      <c r="E1344" s="2">
        <f t="shared" si="98"/>
        <v>789</v>
      </c>
      <c r="F1344" s="2" t="s">
        <v>152</v>
      </c>
      <c r="G1344" s="181">
        <v>13</v>
      </c>
      <c r="H1344" s="165">
        <f t="shared" si="96"/>
        <v>10257</v>
      </c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56"/>
    </row>
    <row r="1345" spans="1:22" x14ac:dyDescent="0.25">
      <c r="A1345" s="25">
        <v>1334</v>
      </c>
      <c r="B1345" s="23"/>
      <c r="C1345" s="1" t="s">
        <v>801</v>
      </c>
      <c r="D1345" s="23"/>
      <c r="E1345" s="2">
        <f t="shared" si="98"/>
        <v>789</v>
      </c>
      <c r="F1345" s="2" t="s">
        <v>152</v>
      </c>
      <c r="G1345" s="181">
        <v>8</v>
      </c>
      <c r="H1345" s="165">
        <f t="shared" si="96"/>
        <v>6312</v>
      </c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56"/>
    </row>
    <row r="1346" spans="1:22" x14ac:dyDescent="0.25">
      <c r="A1346" s="25">
        <v>1335</v>
      </c>
      <c r="B1346" s="23"/>
      <c r="C1346" s="39" t="s">
        <v>802</v>
      </c>
      <c r="D1346" s="23"/>
      <c r="E1346" s="36">
        <v>263</v>
      </c>
      <c r="F1346" s="36" t="s">
        <v>128</v>
      </c>
      <c r="G1346" s="183">
        <v>140</v>
      </c>
      <c r="H1346" s="165">
        <f>G1346*E1346</f>
        <v>36820</v>
      </c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56"/>
    </row>
    <row r="1347" spans="1:22" x14ac:dyDescent="0.25">
      <c r="A1347" s="25">
        <v>1336</v>
      </c>
      <c r="B1347" s="23"/>
      <c r="C1347" s="14"/>
      <c r="D1347" s="23"/>
      <c r="E1347" s="84"/>
      <c r="F1347" s="23"/>
      <c r="G1347" s="165"/>
      <c r="H1347" s="165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56"/>
    </row>
    <row r="1348" spans="1:22" ht="30" x14ac:dyDescent="0.25">
      <c r="A1348" s="25">
        <v>1337</v>
      </c>
      <c r="B1348" s="89" t="s">
        <v>111</v>
      </c>
      <c r="C1348" s="90" t="s">
        <v>99</v>
      </c>
      <c r="D1348" s="89" t="s">
        <v>27</v>
      </c>
      <c r="E1348" s="89"/>
      <c r="F1348" s="89"/>
      <c r="G1348" s="163"/>
      <c r="H1348" s="167">
        <v>141594</v>
      </c>
      <c r="I1348" s="89" t="s">
        <v>93</v>
      </c>
      <c r="J1348" s="60"/>
      <c r="K1348" s="60"/>
      <c r="L1348" s="60"/>
      <c r="M1348" s="60">
        <v>1</v>
      </c>
      <c r="N1348" s="60"/>
      <c r="O1348" s="60">
        <v>1</v>
      </c>
      <c r="P1348" s="60">
        <v>1</v>
      </c>
      <c r="Q1348" s="60">
        <v>1</v>
      </c>
      <c r="R1348" s="60">
        <v>1</v>
      </c>
      <c r="S1348" s="60">
        <v>1</v>
      </c>
      <c r="T1348" s="60">
        <v>1</v>
      </c>
      <c r="U1348" s="60"/>
      <c r="V1348" s="56"/>
    </row>
    <row r="1349" spans="1:22" x14ac:dyDescent="0.25">
      <c r="A1349" s="25">
        <v>1338</v>
      </c>
      <c r="B1349" s="23"/>
      <c r="C1349" s="14" t="s">
        <v>466</v>
      </c>
      <c r="D1349" s="23"/>
      <c r="E1349" s="84"/>
      <c r="F1349" s="23"/>
      <c r="G1349" s="165"/>
      <c r="H1349" s="165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56"/>
    </row>
    <row r="1350" spans="1:22" x14ac:dyDescent="0.25">
      <c r="A1350" s="25">
        <v>1339</v>
      </c>
      <c r="B1350" s="23"/>
      <c r="C1350" s="129" t="s">
        <v>786</v>
      </c>
      <c r="D1350" s="23"/>
      <c r="E1350" s="114">
        <f>9*2</f>
        <v>18</v>
      </c>
      <c r="F1350" s="23" t="s">
        <v>567</v>
      </c>
      <c r="G1350" s="185">
        <v>1250</v>
      </c>
      <c r="H1350" s="165">
        <f>G1350*E1350</f>
        <v>22500</v>
      </c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56"/>
    </row>
    <row r="1351" spans="1:22" x14ac:dyDescent="0.25">
      <c r="A1351" s="25">
        <v>1340</v>
      </c>
      <c r="B1351" s="23"/>
      <c r="C1351" s="129" t="s">
        <v>987</v>
      </c>
      <c r="D1351" s="23"/>
      <c r="E1351" s="114">
        <f>7*2</f>
        <v>14</v>
      </c>
      <c r="F1351" s="23" t="s">
        <v>567</v>
      </c>
      <c r="G1351" s="185">
        <v>1500</v>
      </c>
      <c r="H1351" s="165">
        <f t="shared" ref="H1351:H1363" si="99">G1351*E1351</f>
        <v>21000</v>
      </c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56"/>
    </row>
    <row r="1352" spans="1:22" x14ac:dyDescent="0.25">
      <c r="A1352" s="25">
        <v>1341</v>
      </c>
      <c r="B1352" s="23"/>
      <c r="C1352" s="129" t="s">
        <v>383</v>
      </c>
      <c r="D1352" s="23"/>
      <c r="E1352" s="114">
        <f>16*2</f>
        <v>32</v>
      </c>
      <c r="F1352" s="23" t="s">
        <v>567</v>
      </c>
      <c r="G1352" s="130">
        <v>145</v>
      </c>
      <c r="H1352" s="165">
        <f t="shared" si="99"/>
        <v>4640</v>
      </c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56"/>
    </row>
    <row r="1353" spans="1:22" x14ac:dyDescent="0.25">
      <c r="A1353" s="25">
        <v>1342</v>
      </c>
      <c r="B1353" s="23"/>
      <c r="C1353" s="129" t="s">
        <v>278</v>
      </c>
      <c r="D1353" s="23"/>
      <c r="E1353" s="114">
        <f>8*2</f>
        <v>16</v>
      </c>
      <c r="F1353" s="23" t="s">
        <v>567</v>
      </c>
      <c r="G1353" s="130">
        <v>320</v>
      </c>
      <c r="H1353" s="165">
        <f t="shared" si="99"/>
        <v>5120</v>
      </c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56"/>
    </row>
    <row r="1354" spans="1:22" x14ac:dyDescent="0.25">
      <c r="A1354" s="25">
        <v>1343</v>
      </c>
      <c r="B1354" s="23"/>
      <c r="C1354" s="129" t="s">
        <v>787</v>
      </c>
      <c r="D1354" s="23"/>
      <c r="E1354" s="114">
        <f>10*2</f>
        <v>20</v>
      </c>
      <c r="F1354" s="23" t="s">
        <v>567</v>
      </c>
      <c r="G1354" s="130">
        <v>98</v>
      </c>
      <c r="H1354" s="165">
        <f t="shared" si="99"/>
        <v>1960</v>
      </c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56"/>
    </row>
    <row r="1355" spans="1:22" x14ac:dyDescent="0.25">
      <c r="A1355" s="25">
        <v>1344</v>
      </c>
      <c r="B1355" s="23"/>
      <c r="C1355" s="111" t="s">
        <v>988</v>
      </c>
      <c r="D1355" s="23"/>
      <c r="E1355" s="114">
        <f t="shared" ref="E1355:E1357" si="100">10*2</f>
        <v>20</v>
      </c>
      <c r="F1355" s="23" t="s">
        <v>567</v>
      </c>
      <c r="G1355" s="186">
        <v>120.25</v>
      </c>
      <c r="H1355" s="165">
        <f t="shared" si="99"/>
        <v>2405</v>
      </c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56"/>
    </row>
    <row r="1356" spans="1:22" x14ac:dyDescent="0.25">
      <c r="A1356" s="25">
        <v>1345</v>
      </c>
      <c r="B1356" s="23"/>
      <c r="C1356" s="111" t="s">
        <v>989</v>
      </c>
      <c r="D1356" s="23"/>
      <c r="E1356" s="114">
        <f t="shared" si="100"/>
        <v>20</v>
      </c>
      <c r="F1356" s="23" t="s">
        <v>567</v>
      </c>
      <c r="G1356" s="186">
        <v>297</v>
      </c>
      <c r="H1356" s="165">
        <f t="shared" si="99"/>
        <v>5940</v>
      </c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56"/>
    </row>
    <row r="1357" spans="1:22" x14ac:dyDescent="0.25">
      <c r="A1357" s="25">
        <v>1346</v>
      </c>
      <c r="B1357" s="23"/>
      <c r="C1357" s="111" t="s">
        <v>791</v>
      </c>
      <c r="D1357" s="23"/>
      <c r="E1357" s="114">
        <f t="shared" si="100"/>
        <v>20</v>
      </c>
      <c r="F1357" s="23" t="s">
        <v>567</v>
      </c>
      <c r="G1357" s="186">
        <v>375.75</v>
      </c>
      <c r="H1357" s="165">
        <f t="shared" si="99"/>
        <v>7515</v>
      </c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56"/>
    </row>
    <row r="1358" spans="1:22" x14ac:dyDescent="0.25">
      <c r="A1358" s="25">
        <v>1347</v>
      </c>
      <c r="B1358" s="23"/>
      <c r="C1358" s="129" t="s">
        <v>990</v>
      </c>
      <c r="D1358" s="23"/>
      <c r="E1358" s="114">
        <f>4*2</f>
        <v>8</v>
      </c>
      <c r="F1358" s="114" t="s">
        <v>152</v>
      </c>
      <c r="G1358" s="130">
        <v>651</v>
      </c>
      <c r="H1358" s="165">
        <f t="shared" si="99"/>
        <v>5208</v>
      </c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56"/>
    </row>
    <row r="1359" spans="1:22" x14ac:dyDescent="0.25">
      <c r="A1359" s="25">
        <v>1348</v>
      </c>
      <c r="B1359" s="23"/>
      <c r="C1359" s="129" t="s">
        <v>991</v>
      </c>
      <c r="D1359" s="23"/>
      <c r="E1359" s="114">
        <f>30*2</f>
        <v>60</v>
      </c>
      <c r="F1359" s="114" t="s">
        <v>152</v>
      </c>
      <c r="G1359" s="130">
        <v>67</v>
      </c>
      <c r="H1359" s="165">
        <f t="shared" si="99"/>
        <v>4020</v>
      </c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56"/>
    </row>
    <row r="1360" spans="1:22" x14ac:dyDescent="0.25">
      <c r="A1360" s="25">
        <v>1349</v>
      </c>
      <c r="B1360" s="23"/>
      <c r="C1360" s="129" t="s">
        <v>992</v>
      </c>
      <c r="D1360" s="23"/>
      <c r="E1360" s="114">
        <f>14*2</f>
        <v>28</v>
      </c>
      <c r="F1360" s="114" t="s">
        <v>152</v>
      </c>
      <c r="G1360" s="130">
        <v>78</v>
      </c>
      <c r="H1360" s="165">
        <f t="shared" si="99"/>
        <v>2184</v>
      </c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56"/>
    </row>
    <row r="1361" spans="1:22" x14ac:dyDescent="0.25">
      <c r="A1361" s="25">
        <v>1350</v>
      </c>
      <c r="B1361" s="23"/>
      <c r="C1361" s="129" t="s">
        <v>385</v>
      </c>
      <c r="D1361" s="23"/>
      <c r="E1361" s="114">
        <f>26*2</f>
        <v>52</v>
      </c>
      <c r="F1361" s="114" t="s">
        <v>152</v>
      </c>
      <c r="G1361" s="130">
        <v>950</v>
      </c>
      <c r="H1361" s="165">
        <f t="shared" si="99"/>
        <v>49400</v>
      </c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56"/>
    </row>
    <row r="1362" spans="1:22" x14ac:dyDescent="0.25">
      <c r="A1362" s="25">
        <v>1351</v>
      </c>
      <c r="B1362" s="23"/>
      <c r="C1362" s="129" t="s">
        <v>353</v>
      </c>
      <c r="D1362" s="23"/>
      <c r="E1362" s="114">
        <f>5*2</f>
        <v>10</v>
      </c>
      <c r="F1362" s="114" t="s">
        <v>579</v>
      </c>
      <c r="G1362" s="130">
        <v>450</v>
      </c>
      <c r="H1362" s="165">
        <f t="shared" si="99"/>
        <v>4500</v>
      </c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56"/>
    </row>
    <row r="1363" spans="1:22" x14ac:dyDescent="0.25">
      <c r="A1363" s="25">
        <v>1352</v>
      </c>
      <c r="B1363" s="23"/>
      <c r="C1363" s="129" t="s">
        <v>788</v>
      </c>
      <c r="D1363" s="23"/>
      <c r="E1363" s="114">
        <f>4*2</f>
        <v>8</v>
      </c>
      <c r="F1363" s="23" t="s">
        <v>567</v>
      </c>
      <c r="G1363" s="130">
        <v>650.25</v>
      </c>
      <c r="H1363" s="165">
        <f t="shared" si="99"/>
        <v>5202</v>
      </c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56"/>
    </row>
    <row r="1364" spans="1:22" x14ac:dyDescent="0.25">
      <c r="A1364" s="25">
        <v>1353</v>
      </c>
      <c r="B1364" s="23"/>
      <c r="C1364" s="14"/>
      <c r="D1364" s="23"/>
      <c r="E1364" s="84"/>
      <c r="F1364" s="23"/>
      <c r="G1364" s="165"/>
      <c r="H1364" s="165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56"/>
    </row>
    <row r="1365" spans="1:22" ht="30" x14ac:dyDescent="0.25">
      <c r="A1365" s="25">
        <v>1354</v>
      </c>
      <c r="B1365" s="89" t="s">
        <v>111</v>
      </c>
      <c r="C1365" s="90" t="s">
        <v>89</v>
      </c>
      <c r="D1365" s="89" t="s">
        <v>27</v>
      </c>
      <c r="E1365" s="89"/>
      <c r="F1365" s="89"/>
      <c r="G1365" s="163"/>
      <c r="H1365" s="167">
        <v>33400</v>
      </c>
      <c r="I1365" s="89" t="s">
        <v>93</v>
      </c>
      <c r="J1365" s="60">
        <v>1</v>
      </c>
      <c r="K1365" s="60">
        <v>1</v>
      </c>
      <c r="L1365" s="60">
        <v>1</v>
      </c>
      <c r="M1365" s="60">
        <v>1</v>
      </c>
      <c r="N1365" s="60">
        <v>1</v>
      </c>
      <c r="O1365" s="60">
        <v>1</v>
      </c>
      <c r="P1365" s="60">
        <v>1</v>
      </c>
      <c r="Q1365" s="60">
        <v>1</v>
      </c>
      <c r="R1365" s="60">
        <v>1</v>
      </c>
      <c r="S1365" s="60">
        <v>1</v>
      </c>
      <c r="T1365" s="60">
        <v>1</v>
      </c>
      <c r="U1365" s="60">
        <v>1</v>
      </c>
      <c r="V1365" s="56"/>
    </row>
    <row r="1366" spans="1:22" x14ac:dyDescent="0.25">
      <c r="A1366" s="25">
        <v>1355</v>
      </c>
      <c r="B1366" s="23"/>
      <c r="C1366" s="14" t="s">
        <v>661</v>
      </c>
      <c r="D1366" s="23"/>
      <c r="E1366" s="84">
        <v>12</v>
      </c>
      <c r="F1366" s="23" t="s">
        <v>567</v>
      </c>
      <c r="G1366" s="165">
        <v>1250</v>
      </c>
      <c r="H1366" s="165">
        <v>15000</v>
      </c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56"/>
    </row>
    <row r="1367" spans="1:22" x14ac:dyDescent="0.25">
      <c r="A1367" s="25">
        <v>1356</v>
      </c>
      <c r="B1367" s="23"/>
      <c r="C1367" s="14" t="s">
        <v>563</v>
      </c>
      <c r="D1367" s="23"/>
      <c r="E1367" s="84">
        <v>80</v>
      </c>
      <c r="F1367" s="23" t="s">
        <v>152</v>
      </c>
      <c r="G1367" s="165">
        <v>150</v>
      </c>
      <c r="H1367" s="165">
        <v>12000</v>
      </c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56"/>
    </row>
    <row r="1368" spans="1:22" x14ac:dyDescent="0.25">
      <c r="A1368" s="25">
        <v>1357</v>
      </c>
      <c r="B1368" s="23"/>
      <c r="C1368" s="14" t="s">
        <v>662</v>
      </c>
      <c r="D1368" s="23"/>
      <c r="E1368" s="84">
        <v>4</v>
      </c>
      <c r="F1368" s="23" t="s">
        <v>571</v>
      </c>
      <c r="G1368" s="165">
        <v>1600</v>
      </c>
      <c r="H1368" s="165">
        <v>6400</v>
      </c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56"/>
    </row>
    <row r="1369" spans="1:22" x14ac:dyDescent="0.25">
      <c r="A1369" s="25">
        <v>1358</v>
      </c>
      <c r="B1369" s="23"/>
      <c r="C1369" s="14"/>
      <c r="D1369" s="23"/>
      <c r="E1369" s="84"/>
      <c r="F1369" s="23"/>
      <c r="G1369" s="165"/>
      <c r="H1369" s="165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56"/>
    </row>
    <row r="1370" spans="1:22" ht="30" x14ac:dyDescent="0.25">
      <c r="A1370" s="25">
        <v>1359</v>
      </c>
      <c r="B1370" s="89" t="s">
        <v>111</v>
      </c>
      <c r="C1370" s="90" t="s">
        <v>101</v>
      </c>
      <c r="D1370" s="89" t="s">
        <v>27</v>
      </c>
      <c r="E1370" s="89"/>
      <c r="F1370" s="89"/>
      <c r="G1370" s="163"/>
      <c r="H1370" s="167">
        <v>27796</v>
      </c>
      <c r="I1370" s="89" t="s">
        <v>93</v>
      </c>
      <c r="J1370" s="60"/>
      <c r="K1370" s="60"/>
      <c r="L1370" s="60"/>
      <c r="M1370" s="60">
        <v>2</v>
      </c>
      <c r="N1370" s="60"/>
      <c r="O1370" s="60"/>
      <c r="P1370" s="60"/>
      <c r="Q1370" s="60"/>
      <c r="R1370" s="60"/>
      <c r="S1370" s="60"/>
      <c r="T1370" s="60"/>
      <c r="U1370" s="60"/>
      <c r="V1370" s="56"/>
    </row>
    <row r="1371" spans="1:22" x14ac:dyDescent="0.25">
      <c r="A1371" s="25">
        <v>1360</v>
      </c>
      <c r="B1371" s="23"/>
      <c r="C1371" s="11" t="s">
        <v>385</v>
      </c>
      <c r="D1371" s="23"/>
      <c r="E1371" s="2">
        <v>7</v>
      </c>
      <c r="F1371" s="2" t="s">
        <v>152</v>
      </c>
      <c r="G1371" s="24">
        <v>950</v>
      </c>
      <c r="H1371" s="165">
        <f>E1371*G1371</f>
        <v>6650</v>
      </c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56"/>
    </row>
    <row r="1372" spans="1:22" x14ac:dyDescent="0.25">
      <c r="A1372" s="25">
        <v>1361</v>
      </c>
      <c r="B1372" s="23"/>
      <c r="C1372" s="11" t="s">
        <v>772</v>
      </c>
      <c r="D1372" s="23"/>
      <c r="E1372" s="2">
        <v>5</v>
      </c>
      <c r="F1372" s="23" t="s">
        <v>567</v>
      </c>
      <c r="G1372" s="24">
        <v>1500</v>
      </c>
      <c r="H1372" s="165">
        <f t="shared" ref="H1372:H1378" si="101">E1372*G1372</f>
        <v>7500</v>
      </c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56"/>
    </row>
    <row r="1373" spans="1:22" x14ac:dyDescent="0.25">
      <c r="A1373" s="25">
        <v>1362</v>
      </c>
      <c r="B1373" s="23"/>
      <c r="C1373" s="11" t="s">
        <v>773</v>
      </c>
      <c r="D1373" s="23"/>
      <c r="E1373" s="2">
        <v>4</v>
      </c>
      <c r="F1373" s="23" t="s">
        <v>567</v>
      </c>
      <c r="G1373" s="24">
        <v>1520</v>
      </c>
      <c r="H1373" s="165">
        <f t="shared" si="101"/>
        <v>6080</v>
      </c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56"/>
    </row>
    <row r="1374" spans="1:22" x14ac:dyDescent="0.25">
      <c r="A1374" s="25">
        <v>1363</v>
      </c>
      <c r="B1374" s="23"/>
      <c r="C1374" s="11" t="s">
        <v>774</v>
      </c>
      <c r="D1374" s="23"/>
      <c r="E1374" s="2">
        <v>6</v>
      </c>
      <c r="F1374" s="2" t="s">
        <v>152</v>
      </c>
      <c r="G1374" s="24">
        <v>95</v>
      </c>
      <c r="H1374" s="165">
        <f t="shared" si="101"/>
        <v>570</v>
      </c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56"/>
    </row>
    <row r="1375" spans="1:22" x14ac:dyDescent="0.25">
      <c r="A1375" s="25">
        <v>1364</v>
      </c>
      <c r="B1375" s="23"/>
      <c r="C1375" s="11" t="s">
        <v>775</v>
      </c>
      <c r="D1375" s="23"/>
      <c r="E1375" s="2">
        <v>6</v>
      </c>
      <c r="F1375" s="2" t="s">
        <v>152</v>
      </c>
      <c r="G1375" s="24">
        <v>131</v>
      </c>
      <c r="H1375" s="165">
        <f t="shared" si="101"/>
        <v>786</v>
      </c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56"/>
    </row>
    <row r="1376" spans="1:22" x14ac:dyDescent="0.25">
      <c r="A1376" s="25">
        <v>1365</v>
      </c>
      <c r="B1376" s="23"/>
      <c r="C1376" s="11" t="s">
        <v>776</v>
      </c>
      <c r="D1376" s="23"/>
      <c r="E1376" s="2">
        <v>4</v>
      </c>
      <c r="F1376" s="2" t="s">
        <v>152</v>
      </c>
      <c r="G1376" s="24">
        <v>270</v>
      </c>
      <c r="H1376" s="165">
        <f t="shared" si="101"/>
        <v>1080</v>
      </c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56"/>
    </row>
    <row r="1377" spans="1:22" x14ac:dyDescent="0.25">
      <c r="A1377" s="25">
        <v>1366</v>
      </c>
      <c r="B1377" s="23"/>
      <c r="C1377" s="11" t="s">
        <v>777</v>
      </c>
      <c r="D1377" s="23"/>
      <c r="E1377" s="2">
        <v>7</v>
      </c>
      <c r="F1377" s="2" t="s">
        <v>152</v>
      </c>
      <c r="G1377" s="24">
        <v>450</v>
      </c>
      <c r="H1377" s="165">
        <f t="shared" si="101"/>
        <v>3150</v>
      </c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56"/>
    </row>
    <row r="1378" spans="1:22" x14ac:dyDescent="0.25">
      <c r="A1378" s="25">
        <v>1367</v>
      </c>
      <c r="B1378" s="23"/>
      <c r="C1378" s="11" t="s">
        <v>383</v>
      </c>
      <c r="D1378" s="23"/>
      <c r="E1378" s="2">
        <v>6</v>
      </c>
      <c r="F1378" s="23" t="s">
        <v>567</v>
      </c>
      <c r="G1378" s="24">
        <v>330</v>
      </c>
      <c r="H1378" s="165">
        <f t="shared" si="101"/>
        <v>1980</v>
      </c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56"/>
    </row>
    <row r="1379" spans="1:22" x14ac:dyDescent="0.25">
      <c r="A1379" s="25">
        <v>1368</v>
      </c>
      <c r="B1379" s="23"/>
      <c r="C1379" s="14"/>
      <c r="D1379" s="23"/>
      <c r="E1379" s="84"/>
      <c r="F1379" s="23"/>
      <c r="G1379" s="165"/>
      <c r="H1379" s="165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56"/>
    </row>
    <row r="1380" spans="1:22" ht="30" x14ac:dyDescent="0.25">
      <c r="A1380" s="25">
        <v>1369</v>
      </c>
      <c r="B1380" s="89" t="s">
        <v>111</v>
      </c>
      <c r="C1380" s="90" t="s">
        <v>97</v>
      </c>
      <c r="D1380" s="89" t="s">
        <v>27</v>
      </c>
      <c r="E1380" s="89"/>
      <c r="F1380" s="89"/>
      <c r="G1380" s="163"/>
      <c r="H1380" s="167">
        <v>113760</v>
      </c>
      <c r="I1380" s="89" t="s">
        <v>93</v>
      </c>
      <c r="J1380" s="60">
        <v>1</v>
      </c>
      <c r="K1380" s="60">
        <v>1</v>
      </c>
      <c r="L1380" s="60">
        <v>1</v>
      </c>
      <c r="M1380" s="60">
        <v>1</v>
      </c>
      <c r="N1380" s="60">
        <v>1</v>
      </c>
      <c r="O1380" s="60">
        <v>1</v>
      </c>
      <c r="P1380" s="60">
        <v>1</v>
      </c>
      <c r="Q1380" s="60">
        <v>1</v>
      </c>
      <c r="R1380" s="60">
        <v>1</v>
      </c>
      <c r="S1380" s="60">
        <v>1</v>
      </c>
      <c r="T1380" s="60">
        <v>1</v>
      </c>
      <c r="U1380" s="60">
        <v>1</v>
      </c>
      <c r="V1380" s="56"/>
    </row>
    <row r="1381" spans="1:22" x14ac:dyDescent="0.25">
      <c r="A1381" s="25">
        <v>1370</v>
      </c>
      <c r="B1381" s="23"/>
      <c r="C1381" s="1" t="s">
        <v>752</v>
      </c>
      <c r="D1381" s="23"/>
      <c r="E1381" s="8">
        <v>48</v>
      </c>
      <c r="F1381" s="8" t="s">
        <v>290</v>
      </c>
      <c r="G1381" s="49">
        <v>387.5</v>
      </c>
      <c r="H1381" s="165">
        <f>G1381*E1381</f>
        <v>18600</v>
      </c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56"/>
    </row>
    <row r="1382" spans="1:22" x14ac:dyDescent="0.25">
      <c r="A1382" s="25">
        <v>1371</v>
      </c>
      <c r="B1382" s="23"/>
      <c r="C1382" s="1" t="s">
        <v>376</v>
      </c>
      <c r="D1382" s="23"/>
      <c r="E1382" s="8">
        <v>48</v>
      </c>
      <c r="F1382" s="8" t="s">
        <v>290</v>
      </c>
      <c r="G1382" s="49">
        <v>410</v>
      </c>
      <c r="H1382" s="165">
        <f t="shared" ref="H1382:H1398" si="102">G1382*E1382</f>
        <v>19680</v>
      </c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56"/>
    </row>
    <row r="1383" spans="1:22" x14ac:dyDescent="0.25">
      <c r="A1383" s="25">
        <v>1372</v>
      </c>
      <c r="B1383" s="23"/>
      <c r="C1383" s="1" t="s">
        <v>378</v>
      </c>
      <c r="D1383" s="23"/>
      <c r="E1383" s="8">
        <v>240</v>
      </c>
      <c r="F1383" s="8" t="s">
        <v>152</v>
      </c>
      <c r="G1383" s="49">
        <v>50</v>
      </c>
      <c r="H1383" s="165">
        <f t="shared" si="102"/>
        <v>12000</v>
      </c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56"/>
    </row>
    <row r="1384" spans="1:22" x14ac:dyDescent="0.25">
      <c r="A1384" s="25">
        <v>1373</v>
      </c>
      <c r="B1384" s="23"/>
      <c r="C1384" s="1" t="s">
        <v>379</v>
      </c>
      <c r="D1384" s="23"/>
      <c r="E1384" s="8">
        <v>240</v>
      </c>
      <c r="F1384" s="8" t="s">
        <v>152</v>
      </c>
      <c r="G1384" s="49">
        <v>35</v>
      </c>
      <c r="H1384" s="165">
        <f t="shared" si="102"/>
        <v>8400</v>
      </c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56"/>
    </row>
    <row r="1385" spans="1:22" x14ac:dyDescent="0.25">
      <c r="A1385" s="25">
        <v>1374</v>
      </c>
      <c r="B1385" s="23"/>
      <c r="C1385" s="1" t="s">
        <v>753</v>
      </c>
      <c r="D1385" s="23"/>
      <c r="E1385" s="8">
        <v>240</v>
      </c>
      <c r="F1385" s="8" t="s">
        <v>152</v>
      </c>
      <c r="G1385" s="49">
        <v>25</v>
      </c>
      <c r="H1385" s="165">
        <f t="shared" si="102"/>
        <v>6000</v>
      </c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56"/>
    </row>
    <row r="1386" spans="1:22" x14ac:dyDescent="0.25">
      <c r="A1386" s="25">
        <v>1375</v>
      </c>
      <c r="B1386" s="23"/>
      <c r="C1386" s="1" t="s">
        <v>754</v>
      </c>
      <c r="D1386" s="23"/>
      <c r="E1386" s="8">
        <v>240</v>
      </c>
      <c r="F1386" s="8" t="s">
        <v>152</v>
      </c>
      <c r="G1386" s="49">
        <v>20</v>
      </c>
      <c r="H1386" s="165">
        <f t="shared" si="102"/>
        <v>4800</v>
      </c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56"/>
    </row>
    <row r="1387" spans="1:22" x14ac:dyDescent="0.25">
      <c r="A1387" s="25">
        <v>1376</v>
      </c>
      <c r="B1387" s="23"/>
      <c r="C1387" s="1" t="s">
        <v>381</v>
      </c>
      <c r="D1387" s="23"/>
      <c r="E1387" s="8">
        <v>48</v>
      </c>
      <c r="F1387" s="8" t="s">
        <v>152</v>
      </c>
      <c r="G1387" s="49">
        <v>30</v>
      </c>
      <c r="H1387" s="165">
        <f t="shared" si="102"/>
        <v>1440</v>
      </c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56"/>
    </row>
    <row r="1388" spans="1:22" x14ac:dyDescent="0.25">
      <c r="A1388" s="25">
        <v>1377</v>
      </c>
      <c r="B1388" s="23"/>
      <c r="C1388" s="1" t="s">
        <v>382</v>
      </c>
      <c r="D1388" s="23"/>
      <c r="E1388" s="8">
        <v>48</v>
      </c>
      <c r="F1388" s="8" t="s">
        <v>152</v>
      </c>
      <c r="G1388" s="49">
        <v>150</v>
      </c>
      <c r="H1388" s="165">
        <f t="shared" si="102"/>
        <v>7200</v>
      </c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56"/>
    </row>
    <row r="1389" spans="1:22" x14ac:dyDescent="0.25">
      <c r="A1389" s="25">
        <v>1378</v>
      </c>
      <c r="B1389" s="23"/>
      <c r="C1389" s="1" t="s">
        <v>383</v>
      </c>
      <c r="D1389" s="23"/>
      <c r="E1389" s="8">
        <v>48</v>
      </c>
      <c r="F1389" s="8" t="s">
        <v>152</v>
      </c>
      <c r="G1389" s="49">
        <v>15</v>
      </c>
      <c r="H1389" s="165">
        <f t="shared" si="102"/>
        <v>720</v>
      </c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56"/>
    </row>
    <row r="1390" spans="1:22" x14ac:dyDescent="0.25">
      <c r="A1390" s="25">
        <v>1379</v>
      </c>
      <c r="B1390" s="23"/>
      <c r="C1390" s="1" t="s">
        <v>755</v>
      </c>
      <c r="D1390" s="23"/>
      <c r="E1390" s="8">
        <v>24</v>
      </c>
      <c r="F1390" s="8" t="s">
        <v>152</v>
      </c>
      <c r="G1390" s="49">
        <v>400</v>
      </c>
      <c r="H1390" s="165">
        <f t="shared" si="102"/>
        <v>9600</v>
      </c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56"/>
    </row>
    <row r="1391" spans="1:22" x14ac:dyDescent="0.25">
      <c r="A1391" s="25">
        <v>1380</v>
      </c>
      <c r="B1391" s="23"/>
      <c r="C1391" s="1" t="s">
        <v>756</v>
      </c>
      <c r="D1391" s="23"/>
      <c r="E1391" s="8">
        <v>24</v>
      </c>
      <c r="F1391" s="23" t="s">
        <v>567</v>
      </c>
      <c r="G1391" s="49">
        <v>120</v>
      </c>
      <c r="H1391" s="165">
        <f t="shared" si="102"/>
        <v>2880</v>
      </c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56"/>
    </row>
    <row r="1392" spans="1:22" x14ac:dyDescent="0.25">
      <c r="A1392" s="25">
        <v>1381</v>
      </c>
      <c r="B1392" s="23"/>
      <c r="C1392" s="1" t="s">
        <v>757</v>
      </c>
      <c r="D1392" s="23"/>
      <c r="E1392" s="8">
        <v>24</v>
      </c>
      <c r="F1392" s="8" t="s">
        <v>152</v>
      </c>
      <c r="G1392" s="49">
        <v>70</v>
      </c>
      <c r="H1392" s="165">
        <f t="shared" si="102"/>
        <v>1680</v>
      </c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56"/>
    </row>
    <row r="1393" spans="1:22" x14ac:dyDescent="0.25">
      <c r="A1393" s="25">
        <v>1382</v>
      </c>
      <c r="B1393" s="23"/>
      <c r="C1393" s="1" t="s">
        <v>415</v>
      </c>
      <c r="D1393" s="23"/>
      <c r="E1393" s="8">
        <v>24</v>
      </c>
      <c r="F1393" s="23" t="s">
        <v>567</v>
      </c>
      <c r="G1393" s="49">
        <v>100</v>
      </c>
      <c r="H1393" s="165">
        <f t="shared" si="102"/>
        <v>2400</v>
      </c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56"/>
    </row>
    <row r="1394" spans="1:22" x14ac:dyDescent="0.25">
      <c r="A1394" s="25">
        <v>1383</v>
      </c>
      <c r="B1394" s="23"/>
      <c r="C1394" s="1" t="s">
        <v>758</v>
      </c>
      <c r="D1394" s="23"/>
      <c r="E1394" s="8">
        <v>24</v>
      </c>
      <c r="F1394" s="8" t="s">
        <v>765</v>
      </c>
      <c r="G1394" s="49">
        <v>100</v>
      </c>
      <c r="H1394" s="165">
        <f t="shared" si="102"/>
        <v>2400</v>
      </c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56"/>
    </row>
    <row r="1395" spans="1:22" x14ac:dyDescent="0.25">
      <c r="A1395" s="25">
        <v>1384</v>
      </c>
      <c r="B1395" s="23"/>
      <c r="C1395" s="1" t="s">
        <v>440</v>
      </c>
      <c r="D1395" s="23"/>
      <c r="E1395" s="8">
        <v>24</v>
      </c>
      <c r="F1395" s="8" t="s">
        <v>152</v>
      </c>
      <c r="G1395" s="49">
        <v>100</v>
      </c>
      <c r="H1395" s="165">
        <f t="shared" si="102"/>
        <v>2400</v>
      </c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56"/>
    </row>
    <row r="1396" spans="1:22" x14ac:dyDescent="0.25">
      <c r="A1396" s="25">
        <v>1385</v>
      </c>
      <c r="B1396" s="23"/>
      <c r="C1396" s="1" t="s">
        <v>759</v>
      </c>
      <c r="D1396" s="23"/>
      <c r="E1396" s="8">
        <v>24</v>
      </c>
      <c r="F1396" s="8" t="s">
        <v>152</v>
      </c>
      <c r="G1396" s="49">
        <v>125</v>
      </c>
      <c r="H1396" s="165">
        <f t="shared" si="102"/>
        <v>3000</v>
      </c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56"/>
    </row>
    <row r="1397" spans="1:22" x14ac:dyDescent="0.25">
      <c r="A1397" s="25">
        <v>1386</v>
      </c>
      <c r="B1397" s="23"/>
      <c r="C1397" s="1" t="s">
        <v>760</v>
      </c>
      <c r="D1397" s="23"/>
      <c r="E1397" s="8">
        <v>24</v>
      </c>
      <c r="F1397" s="23" t="s">
        <v>567</v>
      </c>
      <c r="G1397" s="49">
        <v>60</v>
      </c>
      <c r="H1397" s="165">
        <f t="shared" si="102"/>
        <v>1440</v>
      </c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56"/>
    </row>
    <row r="1398" spans="1:22" x14ac:dyDescent="0.25">
      <c r="A1398" s="25">
        <v>1387</v>
      </c>
      <c r="B1398" s="23"/>
      <c r="C1398" s="1" t="s">
        <v>444</v>
      </c>
      <c r="D1398" s="23"/>
      <c r="E1398" s="8">
        <v>48</v>
      </c>
      <c r="F1398" s="8" t="s">
        <v>152</v>
      </c>
      <c r="G1398" s="49">
        <v>190</v>
      </c>
      <c r="H1398" s="165">
        <f t="shared" si="102"/>
        <v>9120</v>
      </c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56"/>
    </row>
    <row r="1399" spans="1:22" x14ac:dyDescent="0.25">
      <c r="A1399" s="25">
        <v>1388</v>
      </c>
      <c r="B1399" s="23"/>
      <c r="C1399" s="14"/>
      <c r="D1399" s="23"/>
      <c r="E1399" s="84"/>
      <c r="F1399" s="23"/>
      <c r="G1399" s="165"/>
      <c r="H1399" s="165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56"/>
    </row>
    <row r="1400" spans="1:22" ht="30" x14ac:dyDescent="0.25">
      <c r="A1400" s="25">
        <v>1389</v>
      </c>
      <c r="B1400" s="89" t="s">
        <v>111</v>
      </c>
      <c r="C1400" s="90" t="s">
        <v>33</v>
      </c>
      <c r="D1400" s="89" t="s">
        <v>27</v>
      </c>
      <c r="E1400" s="89"/>
      <c r="F1400" s="89"/>
      <c r="G1400" s="163"/>
      <c r="H1400" s="167">
        <v>111868.5</v>
      </c>
      <c r="I1400" s="89" t="s">
        <v>93</v>
      </c>
      <c r="J1400" s="60">
        <v>2</v>
      </c>
      <c r="K1400" s="60">
        <v>3</v>
      </c>
      <c r="L1400" s="60">
        <v>2</v>
      </c>
      <c r="M1400" s="60">
        <v>1</v>
      </c>
      <c r="N1400" s="60">
        <v>1</v>
      </c>
      <c r="O1400" s="60"/>
      <c r="P1400" s="60"/>
      <c r="Q1400" s="60"/>
      <c r="R1400" s="60"/>
      <c r="S1400" s="60">
        <v>2</v>
      </c>
      <c r="T1400" s="60"/>
      <c r="U1400" s="60"/>
      <c r="V1400" s="56"/>
    </row>
    <row r="1401" spans="1:22" x14ac:dyDescent="0.25">
      <c r="A1401" s="25">
        <v>1390</v>
      </c>
      <c r="B1401" s="23"/>
      <c r="C1401" s="11" t="s">
        <v>375</v>
      </c>
      <c r="D1401" s="23"/>
      <c r="E1401" s="2">
        <v>15</v>
      </c>
      <c r="F1401" s="23" t="s">
        <v>567</v>
      </c>
      <c r="G1401" s="24">
        <v>850</v>
      </c>
      <c r="H1401" s="165">
        <f>E1401*G1401</f>
        <v>12750</v>
      </c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56"/>
    </row>
    <row r="1402" spans="1:22" x14ac:dyDescent="0.25">
      <c r="A1402" s="25">
        <v>1391</v>
      </c>
      <c r="B1402" s="23"/>
      <c r="C1402" s="11" t="s">
        <v>383</v>
      </c>
      <c r="D1402" s="23"/>
      <c r="E1402" s="2">
        <v>10</v>
      </c>
      <c r="F1402" s="23" t="s">
        <v>567</v>
      </c>
      <c r="G1402" s="24">
        <v>190</v>
      </c>
      <c r="H1402" s="165">
        <f t="shared" ref="H1402:H1421" si="103">E1402*G1402</f>
        <v>1900</v>
      </c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56"/>
    </row>
    <row r="1403" spans="1:22" x14ac:dyDescent="0.25">
      <c r="A1403" s="25">
        <v>1392</v>
      </c>
      <c r="B1403" s="23"/>
      <c r="C1403" s="11" t="s">
        <v>774</v>
      </c>
      <c r="D1403" s="23"/>
      <c r="E1403" s="2">
        <v>5</v>
      </c>
      <c r="F1403" s="23" t="s">
        <v>567</v>
      </c>
      <c r="G1403" s="24">
        <v>321</v>
      </c>
      <c r="H1403" s="165">
        <f t="shared" si="103"/>
        <v>1605</v>
      </c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56"/>
    </row>
    <row r="1404" spans="1:22" x14ac:dyDescent="0.25">
      <c r="A1404" s="25">
        <v>1393</v>
      </c>
      <c r="B1404" s="23"/>
      <c r="C1404" s="11" t="s">
        <v>787</v>
      </c>
      <c r="D1404" s="23"/>
      <c r="E1404" s="2">
        <v>8</v>
      </c>
      <c r="F1404" s="23" t="s">
        <v>567</v>
      </c>
      <c r="G1404" s="24">
        <v>115</v>
      </c>
      <c r="H1404" s="165">
        <f t="shared" si="103"/>
        <v>920</v>
      </c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56"/>
    </row>
    <row r="1405" spans="1:22" x14ac:dyDescent="0.25">
      <c r="A1405" s="25">
        <v>1394</v>
      </c>
      <c r="B1405" s="23"/>
      <c r="C1405" s="11" t="s">
        <v>896</v>
      </c>
      <c r="D1405" s="23"/>
      <c r="E1405" s="2">
        <v>10</v>
      </c>
      <c r="F1405" s="23" t="s">
        <v>567</v>
      </c>
      <c r="G1405" s="24">
        <v>550</v>
      </c>
      <c r="H1405" s="165">
        <f t="shared" si="103"/>
        <v>5500</v>
      </c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56"/>
    </row>
    <row r="1406" spans="1:22" x14ac:dyDescent="0.25">
      <c r="A1406" s="25">
        <v>1395</v>
      </c>
      <c r="B1406" s="23"/>
      <c r="C1406" s="11" t="s">
        <v>756</v>
      </c>
      <c r="D1406" s="23"/>
      <c r="E1406" s="2">
        <v>10</v>
      </c>
      <c r="F1406" s="23" t="s">
        <v>567</v>
      </c>
      <c r="G1406" s="24">
        <v>115</v>
      </c>
      <c r="H1406" s="165">
        <f t="shared" si="103"/>
        <v>1150</v>
      </c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56"/>
    </row>
    <row r="1407" spans="1:22" x14ac:dyDescent="0.25">
      <c r="A1407" s="25">
        <v>1396</v>
      </c>
      <c r="B1407" s="23"/>
      <c r="C1407" s="11" t="s">
        <v>776</v>
      </c>
      <c r="D1407" s="23"/>
      <c r="E1407" s="2">
        <v>5</v>
      </c>
      <c r="F1407" s="23" t="s">
        <v>567</v>
      </c>
      <c r="G1407" s="24">
        <v>289</v>
      </c>
      <c r="H1407" s="165">
        <f t="shared" si="103"/>
        <v>1445</v>
      </c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56"/>
    </row>
    <row r="1408" spans="1:22" x14ac:dyDescent="0.25">
      <c r="A1408" s="25">
        <v>1397</v>
      </c>
      <c r="B1408" s="23"/>
      <c r="C1408" s="11" t="s">
        <v>490</v>
      </c>
      <c r="D1408" s="23"/>
      <c r="E1408" s="2">
        <v>15</v>
      </c>
      <c r="F1408" s="23" t="s">
        <v>567</v>
      </c>
      <c r="G1408" s="24">
        <v>825</v>
      </c>
      <c r="H1408" s="165">
        <f t="shared" si="103"/>
        <v>12375</v>
      </c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56"/>
    </row>
    <row r="1409" spans="1:22" x14ac:dyDescent="0.25">
      <c r="A1409" s="25">
        <v>1398</v>
      </c>
      <c r="B1409" s="23"/>
      <c r="C1409" s="11" t="s">
        <v>491</v>
      </c>
      <c r="D1409" s="23"/>
      <c r="E1409" s="2">
        <v>15</v>
      </c>
      <c r="F1409" s="23" t="s">
        <v>567</v>
      </c>
      <c r="G1409" s="24">
        <v>830</v>
      </c>
      <c r="H1409" s="165">
        <f t="shared" si="103"/>
        <v>12450</v>
      </c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56"/>
    </row>
    <row r="1410" spans="1:22" x14ac:dyDescent="0.25">
      <c r="A1410" s="25">
        <v>1399</v>
      </c>
      <c r="B1410" s="23"/>
      <c r="C1410" s="11" t="s">
        <v>789</v>
      </c>
      <c r="D1410" s="23"/>
      <c r="E1410" s="2">
        <v>8</v>
      </c>
      <c r="F1410" s="2" t="s">
        <v>152</v>
      </c>
      <c r="G1410" s="24">
        <v>114</v>
      </c>
      <c r="H1410" s="165">
        <f t="shared" si="103"/>
        <v>912</v>
      </c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56"/>
    </row>
    <row r="1411" spans="1:22" x14ac:dyDescent="0.25">
      <c r="A1411" s="25">
        <v>1400</v>
      </c>
      <c r="B1411" s="23"/>
      <c r="C1411" s="11" t="s">
        <v>790</v>
      </c>
      <c r="D1411" s="23"/>
      <c r="E1411" s="2">
        <v>8</v>
      </c>
      <c r="F1411" s="2" t="s">
        <v>152</v>
      </c>
      <c r="G1411" s="24">
        <v>185</v>
      </c>
      <c r="H1411" s="165">
        <f t="shared" si="103"/>
        <v>1480</v>
      </c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56"/>
    </row>
    <row r="1412" spans="1:22" x14ac:dyDescent="0.25">
      <c r="A1412" s="25">
        <v>1401</v>
      </c>
      <c r="B1412" s="23"/>
      <c r="C1412" s="11" t="s">
        <v>791</v>
      </c>
      <c r="D1412" s="23"/>
      <c r="E1412" s="2">
        <v>10</v>
      </c>
      <c r="F1412" s="23" t="s">
        <v>567</v>
      </c>
      <c r="G1412" s="24">
        <v>375</v>
      </c>
      <c r="H1412" s="165">
        <f t="shared" si="103"/>
        <v>3750</v>
      </c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56"/>
    </row>
    <row r="1413" spans="1:22" x14ac:dyDescent="0.25">
      <c r="A1413" s="25">
        <v>1402</v>
      </c>
      <c r="B1413" s="23"/>
      <c r="C1413" s="11" t="s">
        <v>792</v>
      </c>
      <c r="D1413" s="23"/>
      <c r="E1413" s="2">
        <v>8</v>
      </c>
      <c r="F1413" s="23" t="s">
        <v>567</v>
      </c>
      <c r="G1413" s="24">
        <v>111</v>
      </c>
      <c r="H1413" s="165">
        <f t="shared" si="103"/>
        <v>888</v>
      </c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56"/>
    </row>
    <row r="1414" spans="1:22" x14ac:dyDescent="0.25">
      <c r="A1414" s="25">
        <v>1403</v>
      </c>
      <c r="B1414" s="23"/>
      <c r="C1414" s="11" t="s">
        <v>793</v>
      </c>
      <c r="D1414" s="23"/>
      <c r="E1414" s="2">
        <v>4</v>
      </c>
      <c r="F1414" s="2" t="s">
        <v>152</v>
      </c>
      <c r="G1414" s="24">
        <v>133.25</v>
      </c>
      <c r="H1414" s="165">
        <f t="shared" si="103"/>
        <v>533</v>
      </c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56"/>
    </row>
    <row r="1415" spans="1:22" x14ac:dyDescent="0.25">
      <c r="A1415" s="25">
        <v>1404</v>
      </c>
      <c r="B1415" s="23"/>
      <c r="C1415" s="11" t="s">
        <v>794</v>
      </c>
      <c r="D1415" s="23"/>
      <c r="E1415" s="2">
        <v>8</v>
      </c>
      <c r="F1415" s="23" t="s">
        <v>567</v>
      </c>
      <c r="G1415" s="24">
        <v>489</v>
      </c>
      <c r="H1415" s="165">
        <f t="shared" si="103"/>
        <v>3912</v>
      </c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56"/>
    </row>
    <row r="1416" spans="1:22" x14ac:dyDescent="0.25">
      <c r="A1416" s="25">
        <v>1405</v>
      </c>
      <c r="B1416" s="23"/>
      <c r="C1416" s="11" t="s">
        <v>795</v>
      </c>
      <c r="D1416" s="23"/>
      <c r="E1416" s="2">
        <v>5</v>
      </c>
      <c r="F1416" s="23" t="s">
        <v>567</v>
      </c>
      <c r="G1416" s="24">
        <v>420</v>
      </c>
      <c r="H1416" s="165">
        <f t="shared" si="103"/>
        <v>2100</v>
      </c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56"/>
    </row>
    <row r="1417" spans="1:22" x14ac:dyDescent="0.25">
      <c r="A1417" s="25">
        <v>1406</v>
      </c>
      <c r="B1417" s="23"/>
      <c r="C1417" s="11" t="s">
        <v>277</v>
      </c>
      <c r="D1417" s="23"/>
      <c r="E1417" s="2">
        <v>5</v>
      </c>
      <c r="F1417" s="23" t="s">
        <v>567</v>
      </c>
      <c r="G1417" s="24">
        <v>675</v>
      </c>
      <c r="H1417" s="165">
        <f t="shared" si="103"/>
        <v>3375</v>
      </c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56"/>
    </row>
    <row r="1418" spans="1:22" x14ac:dyDescent="0.25">
      <c r="A1418" s="25">
        <v>1407</v>
      </c>
      <c r="B1418" s="23"/>
      <c r="C1418" s="11" t="s">
        <v>385</v>
      </c>
      <c r="D1418" s="23"/>
      <c r="E1418" s="2">
        <v>15</v>
      </c>
      <c r="F1418" s="2" t="s">
        <v>152</v>
      </c>
      <c r="G1418" s="24">
        <v>1250</v>
      </c>
      <c r="H1418" s="165">
        <f t="shared" si="103"/>
        <v>18750</v>
      </c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56"/>
    </row>
    <row r="1419" spans="1:22" x14ac:dyDescent="0.25">
      <c r="A1419" s="25">
        <v>1408</v>
      </c>
      <c r="B1419" s="23"/>
      <c r="C1419" s="11" t="s">
        <v>274</v>
      </c>
      <c r="D1419" s="23"/>
      <c r="E1419" s="2">
        <v>10</v>
      </c>
      <c r="F1419" s="23" t="s">
        <v>309</v>
      </c>
      <c r="G1419" s="24">
        <v>110</v>
      </c>
      <c r="H1419" s="165">
        <f t="shared" si="103"/>
        <v>1100</v>
      </c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56"/>
    </row>
    <row r="1420" spans="1:22" x14ac:dyDescent="0.25">
      <c r="A1420" s="25">
        <v>1409</v>
      </c>
      <c r="B1420" s="23"/>
      <c r="C1420" s="11" t="s">
        <v>393</v>
      </c>
      <c r="D1420" s="23"/>
      <c r="E1420" s="2">
        <v>21</v>
      </c>
      <c r="F1420" s="23" t="s">
        <v>567</v>
      </c>
      <c r="G1420" s="24">
        <v>145</v>
      </c>
      <c r="H1420" s="165">
        <f t="shared" si="103"/>
        <v>3045</v>
      </c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56"/>
    </row>
    <row r="1421" spans="1:22" x14ac:dyDescent="0.25">
      <c r="A1421" s="25">
        <v>1410</v>
      </c>
      <c r="B1421" s="23"/>
      <c r="C1421" s="11" t="s">
        <v>897</v>
      </c>
      <c r="D1421" s="23"/>
      <c r="E1421" s="2">
        <v>1</v>
      </c>
      <c r="F1421" s="2" t="s">
        <v>145</v>
      </c>
      <c r="G1421" s="24">
        <v>2700.1</v>
      </c>
      <c r="H1421" s="165">
        <f t="shared" si="103"/>
        <v>2700.1</v>
      </c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56"/>
    </row>
    <row r="1422" spans="1:22" x14ac:dyDescent="0.25">
      <c r="A1422" s="25">
        <v>1411</v>
      </c>
      <c r="B1422" s="23"/>
      <c r="C1422" s="11" t="s">
        <v>353</v>
      </c>
      <c r="D1422" s="23"/>
      <c r="E1422" s="2">
        <v>5</v>
      </c>
      <c r="F1422" s="2" t="s">
        <v>579</v>
      </c>
      <c r="G1422" s="24">
        <v>890</v>
      </c>
      <c r="H1422" s="165">
        <f>E1422*G1422</f>
        <v>4450</v>
      </c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56"/>
    </row>
    <row r="1423" spans="1:22" x14ac:dyDescent="0.25">
      <c r="A1423" s="25">
        <v>1412</v>
      </c>
      <c r="B1423" s="23"/>
      <c r="C1423" s="1" t="s">
        <v>797</v>
      </c>
      <c r="D1423" s="23"/>
      <c r="E1423" s="8">
        <v>260</v>
      </c>
      <c r="F1423" s="8" t="s">
        <v>152</v>
      </c>
      <c r="G1423" s="181">
        <v>8</v>
      </c>
      <c r="H1423" s="165">
        <f t="shared" ref="H1423:H1427" si="104">E1423*G1423</f>
        <v>2080</v>
      </c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56"/>
    </row>
    <row r="1424" spans="1:22" x14ac:dyDescent="0.25">
      <c r="A1424" s="25">
        <v>1413</v>
      </c>
      <c r="B1424" s="23"/>
      <c r="C1424" s="1" t="s">
        <v>798</v>
      </c>
      <c r="D1424" s="23"/>
      <c r="E1424" s="8">
        <v>260</v>
      </c>
      <c r="F1424" s="8" t="s">
        <v>152</v>
      </c>
      <c r="G1424" s="181">
        <v>25</v>
      </c>
      <c r="H1424" s="165">
        <f t="shared" si="104"/>
        <v>6500</v>
      </c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56"/>
    </row>
    <row r="1425" spans="1:22" x14ac:dyDescent="0.25">
      <c r="A1425" s="25">
        <v>1414</v>
      </c>
      <c r="B1425" s="23"/>
      <c r="C1425" s="1" t="s">
        <v>799</v>
      </c>
      <c r="D1425" s="23"/>
      <c r="E1425" s="8">
        <v>260</v>
      </c>
      <c r="F1425" s="8" t="s">
        <v>152</v>
      </c>
      <c r="G1425" s="181">
        <v>2.5</v>
      </c>
      <c r="H1425" s="165">
        <f t="shared" si="104"/>
        <v>650</v>
      </c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56"/>
    </row>
    <row r="1426" spans="1:22" x14ac:dyDescent="0.25">
      <c r="A1426" s="25">
        <v>1415</v>
      </c>
      <c r="B1426" s="23"/>
      <c r="C1426" s="1" t="s">
        <v>800</v>
      </c>
      <c r="D1426" s="23"/>
      <c r="E1426" s="8">
        <v>260</v>
      </c>
      <c r="F1426" s="8" t="s">
        <v>152</v>
      </c>
      <c r="G1426" s="181">
        <v>13</v>
      </c>
      <c r="H1426" s="165">
        <f t="shared" si="104"/>
        <v>3380</v>
      </c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56"/>
    </row>
    <row r="1427" spans="1:22" x14ac:dyDescent="0.25">
      <c r="A1427" s="25">
        <v>1416</v>
      </c>
      <c r="B1427" s="23"/>
      <c r="C1427" s="1" t="s">
        <v>801</v>
      </c>
      <c r="D1427" s="23"/>
      <c r="E1427" s="8">
        <v>260</v>
      </c>
      <c r="F1427" s="8" t="s">
        <v>152</v>
      </c>
      <c r="G1427" s="181">
        <v>8.34</v>
      </c>
      <c r="H1427" s="165">
        <f t="shared" si="104"/>
        <v>2168.4</v>
      </c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56"/>
    </row>
    <row r="1428" spans="1:22" x14ac:dyDescent="0.25">
      <c r="A1428" s="25">
        <v>1417</v>
      </c>
      <c r="B1428" s="23"/>
      <c r="C1428" s="39"/>
      <c r="D1428" s="23"/>
      <c r="E1428" s="36"/>
      <c r="F1428" s="36"/>
      <c r="G1428" s="183"/>
      <c r="H1428" s="165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56"/>
    </row>
    <row r="1429" spans="1:22" ht="30" x14ac:dyDescent="0.25">
      <c r="A1429" s="25">
        <v>1418</v>
      </c>
      <c r="B1429" s="89" t="s">
        <v>111</v>
      </c>
      <c r="C1429" s="90" t="s">
        <v>95</v>
      </c>
      <c r="D1429" s="89" t="s">
        <v>27</v>
      </c>
      <c r="E1429" s="89"/>
      <c r="F1429" s="89"/>
      <c r="G1429" s="163"/>
      <c r="H1429" s="167">
        <v>171100</v>
      </c>
      <c r="I1429" s="89" t="s">
        <v>93</v>
      </c>
      <c r="J1429" s="60">
        <v>1</v>
      </c>
      <c r="K1429" s="60">
        <v>1</v>
      </c>
      <c r="L1429" s="60">
        <v>1</v>
      </c>
      <c r="M1429" s="60">
        <v>1</v>
      </c>
      <c r="N1429" s="60">
        <v>1</v>
      </c>
      <c r="O1429" s="60">
        <v>1</v>
      </c>
      <c r="P1429" s="60">
        <v>1</v>
      </c>
      <c r="Q1429" s="60">
        <v>1</v>
      </c>
      <c r="R1429" s="60">
        <v>1</v>
      </c>
      <c r="S1429" s="60">
        <v>1</v>
      </c>
      <c r="T1429" s="60">
        <v>1</v>
      </c>
      <c r="U1429" s="60">
        <v>1</v>
      </c>
      <c r="V1429" s="56"/>
    </row>
    <row r="1430" spans="1:22" x14ac:dyDescent="0.25">
      <c r="A1430" s="25">
        <v>1419</v>
      </c>
      <c r="B1430" s="23"/>
      <c r="C1430" s="1" t="s">
        <v>752</v>
      </c>
      <c r="D1430" s="23"/>
      <c r="E1430" s="8">
        <v>100</v>
      </c>
      <c r="F1430" s="8" t="s">
        <v>290</v>
      </c>
      <c r="G1430" s="49">
        <v>387.5</v>
      </c>
      <c r="H1430" s="165">
        <f>G1430*E1430</f>
        <v>38750</v>
      </c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56"/>
    </row>
    <row r="1431" spans="1:22" x14ac:dyDescent="0.25">
      <c r="A1431" s="25">
        <v>1420</v>
      </c>
      <c r="B1431" s="23"/>
      <c r="C1431" s="1" t="s">
        <v>376</v>
      </c>
      <c r="D1431" s="23"/>
      <c r="E1431" s="8">
        <v>100</v>
      </c>
      <c r="F1431" s="8" t="s">
        <v>290</v>
      </c>
      <c r="G1431" s="49">
        <v>410</v>
      </c>
      <c r="H1431" s="165">
        <f t="shared" ref="H1431:H1447" si="105">G1431*E1431</f>
        <v>41000</v>
      </c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56"/>
    </row>
    <row r="1432" spans="1:22" x14ac:dyDescent="0.25">
      <c r="A1432" s="25">
        <v>1421</v>
      </c>
      <c r="B1432" s="23"/>
      <c r="C1432" s="1" t="s">
        <v>378</v>
      </c>
      <c r="D1432" s="23"/>
      <c r="E1432" s="8">
        <v>100</v>
      </c>
      <c r="F1432" s="8" t="s">
        <v>152</v>
      </c>
      <c r="G1432" s="49">
        <v>50</v>
      </c>
      <c r="H1432" s="165">
        <f t="shared" si="105"/>
        <v>5000</v>
      </c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56"/>
    </row>
    <row r="1433" spans="1:22" x14ac:dyDescent="0.25">
      <c r="A1433" s="25">
        <v>1422</v>
      </c>
      <c r="B1433" s="23"/>
      <c r="C1433" s="1" t="s">
        <v>379</v>
      </c>
      <c r="D1433" s="23"/>
      <c r="E1433" s="8">
        <v>100</v>
      </c>
      <c r="F1433" s="8" t="s">
        <v>152</v>
      </c>
      <c r="G1433" s="49">
        <v>35</v>
      </c>
      <c r="H1433" s="165">
        <f t="shared" si="105"/>
        <v>3500</v>
      </c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56"/>
    </row>
    <row r="1434" spans="1:22" x14ac:dyDescent="0.25">
      <c r="A1434" s="25">
        <v>1423</v>
      </c>
      <c r="B1434" s="23"/>
      <c r="C1434" s="1" t="s">
        <v>753</v>
      </c>
      <c r="D1434" s="23"/>
      <c r="E1434" s="8">
        <v>100</v>
      </c>
      <c r="F1434" s="8" t="s">
        <v>152</v>
      </c>
      <c r="G1434" s="49">
        <v>25</v>
      </c>
      <c r="H1434" s="165">
        <f t="shared" si="105"/>
        <v>2500</v>
      </c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56"/>
    </row>
    <row r="1435" spans="1:22" x14ac:dyDescent="0.25">
      <c r="A1435" s="25">
        <v>1424</v>
      </c>
      <c r="B1435" s="23"/>
      <c r="C1435" s="1" t="s">
        <v>754</v>
      </c>
      <c r="D1435" s="23"/>
      <c r="E1435" s="8">
        <v>100</v>
      </c>
      <c r="F1435" s="8" t="s">
        <v>152</v>
      </c>
      <c r="G1435" s="49">
        <v>20</v>
      </c>
      <c r="H1435" s="165">
        <f t="shared" si="105"/>
        <v>2000</v>
      </c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56"/>
    </row>
    <row r="1436" spans="1:22" x14ac:dyDescent="0.25">
      <c r="A1436" s="25">
        <v>1425</v>
      </c>
      <c r="B1436" s="23"/>
      <c r="C1436" s="1" t="s">
        <v>381</v>
      </c>
      <c r="D1436" s="23"/>
      <c r="E1436" s="8">
        <v>100</v>
      </c>
      <c r="F1436" s="8" t="s">
        <v>152</v>
      </c>
      <c r="G1436" s="49">
        <v>30</v>
      </c>
      <c r="H1436" s="165">
        <f t="shared" si="105"/>
        <v>3000</v>
      </c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56"/>
    </row>
    <row r="1437" spans="1:22" x14ac:dyDescent="0.25">
      <c r="A1437" s="25">
        <v>1426</v>
      </c>
      <c r="B1437" s="23"/>
      <c r="C1437" s="1" t="s">
        <v>382</v>
      </c>
      <c r="D1437" s="23"/>
      <c r="E1437" s="8">
        <v>100</v>
      </c>
      <c r="F1437" s="8" t="s">
        <v>152</v>
      </c>
      <c r="G1437" s="49">
        <v>150</v>
      </c>
      <c r="H1437" s="165">
        <f t="shared" si="105"/>
        <v>15000</v>
      </c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56"/>
    </row>
    <row r="1438" spans="1:22" x14ac:dyDescent="0.25">
      <c r="A1438" s="25">
        <v>1427</v>
      </c>
      <c r="B1438" s="23"/>
      <c r="C1438" s="1" t="s">
        <v>383</v>
      </c>
      <c r="D1438" s="23"/>
      <c r="E1438" s="8">
        <v>100</v>
      </c>
      <c r="F1438" s="8" t="s">
        <v>152</v>
      </c>
      <c r="G1438" s="49">
        <v>15</v>
      </c>
      <c r="H1438" s="165">
        <f t="shared" si="105"/>
        <v>1500</v>
      </c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56"/>
    </row>
    <row r="1439" spans="1:22" x14ac:dyDescent="0.25">
      <c r="A1439" s="25">
        <v>1428</v>
      </c>
      <c r="B1439" s="23"/>
      <c r="C1439" s="1" t="s">
        <v>755</v>
      </c>
      <c r="D1439" s="23"/>
      <c r="E1439" s="8">
        <v>46</v>
      </c>
      <c r="F1439" s="8" t="s">
        <v>152</v>
      </c>
      <c r="G1439" s="49">
        <v>400</v>
      </c>
      <c r="H1439" s="165">
        <f t="shared" si="105"/>
        <v>18400</v>
      </c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56"/>
    </row>
    <row r="1440" spans="1:22" x14ac:dyDescent="0.25">
      <c r="A1440" s="25">
        <v>1429</v>
      </c>
      <c r="B1440" s="23"/>
      <c r="C1440" s="1" t="s">
        <v>756</v>
      </c>
      <c r="D1440" s="23"/>
      <c r="E1440" s="8">
        <v>46</v>
      </c>
      <c r="F1440" s="23" t="s">
        <v>567</v>
      </c>
      <c r="G1440" s="49">
        <v>120</v>
      </c>
      <c r="H1440" s="165">
        <f t="shared" si="105"/>
        <v>5520</v>
      </c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56"/>
    </row>
    <row r="1441" spans="1:22" x14ac:dyDescent="0.25">
      <c r="A1441" s="25">
        <v>1430</v>
      </c>
      <c r="B1441" s="23"/>
      <c r="C1441" s="1" t="s">
        <v>757</v>
      </c>
      <c r="D1441" s="23"/>
      <c r="E1441" s="8">
        <v>46</v>
      </c>
      <c r="F1441" s="8" t="s">
        <v>152</v>
      </c>
      <c r="G1441" s="49">
        <v>70</v>
      </c>
      <c r="H1441" s="165">
        <f t="shared" si="105"/>
        <v>3220</v>
      </c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56"/>
    </row>
    <row r="1442" spans="1:22" x14ac:dyDescent="0.25">
      <c r="A1442" s="25">
        <v>1431</v>
      </c>
      <c r="B1442" s="23"/>
      <c r="C1442" s="1" t="s">
        <v>415</v>
      </c>
      <c r="D1442" s="23"/>
      <c r="E1442" s="8">
        <v>46</v>
      </c>
      <c r="F1442" s="23" t="s">
        <v>567</v>
      </c>
      <c r="G1442" s="49">
        <v>100</v>
      </c>
      <c r="H1442" s="165">
        <f t="shared" si="105"/>
        <v>4600</v>
      </c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56"/>
    </row>
    <row r="1443" spans="1:22" x14ac:dyDescent="0.25">
      <c r="A1443" s="25">
        <v>1432</v>
      </c>
      <c r="B1443" s="23"/>
      <c r="C1443" s="1" t="s">
        <v>758</v>
      </c>
      <c r="D1443" s="23"/>
      <c r="E1443" s="8">
        <v>46</v>
      </c>
      <c r="F1443" s="8" t="s">
        <v>765</v>
      </c>
      <c r="G1443" s="49">
        <v>100</v>
      </c>
      <c r="H1443" s="165">
        <f t="shared" si="105"/>
        <v>4600</v>
      </c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56"/>
    </row>
    <row r="1444" spans="1:22" x14ac:dyDescent="0.25">
      <c r="A1444" s="25">
        <v>1433</v>
      </c>
      <c r="B1444" s="23"/>
      <c r="C1444" s="1" t="s">
        <v>440</v>
      </c>
      <c r="D1444" s="23"/>
      <c r="E1444" s="8">
        <v>47</v>
      </c>
      <c r="F1444" s="8" t="s">
        <v>152</v>
      </c>
      <c r="G1444" s="49">
        <v>100</v>
      </c>
      <c r="H1444" s="165">
        <f t="shared" si="105"/>
        <v>4700</v>
      </c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56"/>
    </row>
    <row r="1445" spans="1:22" x14ac:dyDescent="0.25">
      <c r="A1445" s="25">
        <v>1434</v>
      </c>
      <c r="B1445" s="23"/>
      <c r="C1445" s="1" t="s">
        <v>759</v>
      </c>
      <c r="D1445" s="23"/>
      <c r="E1445" s="8">
        <v>46</v>
      </c>
      <c r="F1445" s="8" t="s">
        <v>152</v>
      </c>
      <c r="G1445" s="49">
        <v>125</v>
      </c>
      <c r="H1445" s="165">
        <f t="shared" si="105"/>
        <v>5750</v>
      </c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56"/>
    </row>
    <row r="1446" spans="1:22" x14ac:dyDescent="0.25">
      <c r="A1446" s="25">
        <v>1435</v>
      </c>
      <c r="B1446" s="23"/>
      <c r="C1446" s="1" t="s">
        <v>760</v>
      </c>
      <c r="D1446" s="23"/>
      <c r="E1446" s="8">
        <v>49</v>
      </c>
      <c r="F1446" s="23" t="s">
        <v>567</v>
      </c>
      <c r="G1446" s="49">
        <v>60</v>
      </c>
      <c r="H1446" s="165">
        <f t="shared" si="105"/>
        <v>2940</v>
      </c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56"/>
    </row>
    <row r="1447" spans="1:22" x14ac:dyDescent="0.25">
      <c r="A1447" s="25">
        <v>1436</v>
      </c>
      <c r="B1447" s="23"/>
      <c r="C1447" s="1" t="s">
        <v>444</v>
      </c>
      <c r="D1447" s="23"/>
      <c r="E1447" s="8">
        <v>48</v>
      </c>
      <c r="F1447" s="8" t="s">
        <v>152</v>
      </c>
      <c r="G1447" s="49">
        <v>190</v>
      </c>
      <c r="H1447" s="165">
        <f t="shared" si="105"/>
        <v>9120</v>
      </c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56"/>
    </row>
    <row r="1448" spans="1:22" x14ac:dyDescent="0.25">
      <c r="A1448" s="25">
        <v>1437</v>
      </c>
      <c r="B1448" s="23"/>
      <c r="C1448" s="14"/>
      <c r="D1448" s="23"/>
      <c r="E1448" s="84"/>
      <c r="F1448" s="23"/>
      <c r="G1448" s="165"/>
      <c r="H1448" s="165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56"/>
    </row>
    <row r="1449" spans="1:22" ht="30" x14ac:dyDescent="0.25">
      <c r="A1449" s="25">
        <v>1438</v>
      </c>
      <c r="B1449" s="89" t="s">
        <v>111</v>
      </c>
      <c r="C1449" s="90" t="s">
        <v>110</v>
      </c>
      <c r="D1449" s="89" t="s">
        <v>27</v>
      </c>
      <c r="E1449" s="89"/>
      <c r="F1449" s="89"/>
      <c r="G1449" s="163"/>
      <c r="H1449" s="167">
        <v>104280</v>
      </c>
      <c r="I1449" s="89" t="s">
        <v>93</v>
      </c>
      <c r="J1449" s="60">
        <v>1</v>
      </c>
      <c r="K1449" s="60">
        <v>1</v>
      </c>
      <c r="L1449" s="60">
        <v>1</v>
      </c>
      <c r="M1449" s="60">
        <v>1</v>
      </c>
      <c r="N1449" s="60">
        <v>1</v>
      </c>
      <c r="O1449" s="60">
        <v>1</v>
      </c>
      <c r="P1449" s="60">
        <v>1</v>
      </c>
      <c r="Q1449" s="60">
        <v>1</v>
      </c>
      <c r="R1449" s="60">
        <v>1</v>
      </c>
      <c r="S1449" s="60">
        <v>1</v>
      </c>
      <c r="T1449" s="60">
        <v>1</v>
      </c>
      <c r="U1449" s="60">
        <v>1</v>
      </c>
      <c r="V1449" s="56"/>
    </row>
    <row r="1450" spans="1:22" x14ac:dyDescent="0.25">
      <c r="A1450" s="25">
        <v>1439</v>
      </c>
      <c r="B1450" s="23"/>
      <c r="C1450" s="1" t="s">
        <v>752</v>
      </c>
      <c r="D1450" s="23"/>
      <c r="E1450" s="8">
        <v>44</v>
      </c>
      <c r="F1450" s="8" t="s">
        <v>290</v>
      </c>
      <c r="G1450" s="49">
        <v>387.5</v>
      </c>
      <c r="H1450" s="165">
        <f>G1450*E1450</f>
        <v>17050</v>
      </c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56"/>
    </row>
    <row r="1451" spans="1:22" x14ac:dyDescent="0.25">
      <c r="A1451" s="25">
        <v>1440</v>
      </c>
      <c r="B1451" s="23"/>
      <c r="C1451" s="1" t="s">
        <v>376</v>
      </c>
      <c r="D1451" s="23"/>
      <c r="E1451" s="8">
        <v>44</v>
      </c>
      <c r="F1451" s="8" t="s">
        <v>290</v>
      </c>
      <c r="G1451" s="49">
        <v>410</v>
      </c>
      <c r="H1451" s="165">
        <f t="shared" ref="H1451:H1466" si="106">G1451*E1451</f>
        <v>18040</v>
      </c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56"/>
    </row>
    <row r="1452" spans="1:22" x14ac:dyDescent="0.25">
      <c r="A1452" s="25">
        <v>1441</v>
      </c>
      <c r="B1452" s="23"/>
      <c r="C1452" s="1" t="s">
        <v>378</v>
      </c>
      <c r="D1452" s="23"/>
      <c r="E1452" s="8">
        <v>220</v>
      </c>
      <c r="F1452" s="8" t="s">
        <v>152</v>
      </c>
      <c r="G1452" s="49">
        <v>50</v>
      </c>
      <c r="H1452" s="165">
        <f t="shared" si="106"/>
        <v>11000</v>
      </c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56"/>
    </row>
    <row r="1453" spans="1:22" x14ac:dyDescent="0.25">
      <c r="A1453" s="25">
        <v>1442</v>
      </c>
      <c r="B1453" s="23"/>
      <c r="C1453" s="1" t="s">
        <v>379</v>
      </c>
      <c r="D1453" s="23"/>
      <c r="E1453" s="8">
        <v>220</v>
      </c>
      <c r="F1453" s="8" t="s">
        <v>152</v>
      </c>
      <c r="G1453" s="49">
        <v>35</v>
      </c>
      <c r="H1453" s="165">
        <f t="shared" si="106"/>
        <v>7700</v>
      </c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56"/>
    </row>
    <row r="1454" spans="1:22" x14ac:dyDescent="0.25">
      <c r="A1454" s="25">
        <v>1443</v>
      </c>
      <c r="B1454" s="23"/>
      <c r="C1454" s="1" t="s">
        <v>753</v>
      </c>
      <c r="D1454" s="23"/>
      <c r="E1454" s="8">
        <v>220</v>
      </c>
      <c r="F1454" s="8" t="s">
        <v>152</v>
      </c>
      <c r="G1454" s="49">
        <v>25</v>
      </c>
      <c r="H1454" s="165">
        <f t="shared" si="106"/>
        <v>5500</v>
      </c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56"/>
    </row>
    <row r="1455" spans="1:22" x14ac:dyDescent="0.25">
      <c r="A1455" s="25">
        <v>1444</v>
      </c>
      <c r="B1455" s="23"/>
      <c r="C1455" s="1" t="s">
        <v>754</v>
      </c>
      <c r="D1455" s="23"/>
      <c r="E1455" s="8">
        <v>220</v>
      </c>
      <c r="F1455" s="8" t="s">
        <v>152</v>
      </c>
      <c r="G1455" s="49">
        <v>20</v>
      </c>
      <c r="H1455" s="165">
        <f t="shared" si="106"/>
        <v>4400</v>
      </c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56"/>
    </row>
    <row r="1456" spans="1:22" x14ac:dyDescent="0.25">
      <c r="A1456" s="25">
        <v>1445</v>
      </c>
      <c r="B1456" s="23"/>
      <c r="C1456" s="1" t="s">
        <v>381</v>
      </c>
      <c r="D1456" s="23"/>
      <c r="E1456" s="8">
        <v>44</v>
      </c>
      <c r="F1456" s="8" t="s">
        <v>152</v>
      </c>
      <c r="G1456" s="49">
        <v>30</v>
      </c>
      <c r="H1456" s="165">
        <f t="shared" si="106"/>
        <v>1320</v>
      </c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56"/>
    </row>
    <row r="1457" spans="1:22" x14ac:dyDescent="0.25">
      <c r="A1457" s="25">
        <v>1446</v>
      </c>
      <c r="B1457" s="23"/>
      <c r="C1457" s="1" t="s">
        <v>382</v>
      </c>
      <c r="D1457" s="23"/>
      <c r="E1457" s="8">
        <v>44</v>
      </c>
      <c r="F1457" s="8" t="s">
        <v>152</v>
      </c>
      <c r="G1457" s="49">
        <v>150</v>
      </c>
      <c r="H1457" s="165">
        <f t="shared" si="106"/>
        <v>6600</v>
      </c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56"/>
    </row>
    <row r="1458" spans="1:22" x14ac:dyDescent="0.25">
      <c r="A1458" s="25">
        <v>1447</v>
      </c>
      <c r="B1458" s="23"/>
      <c r="C1458" s="1" t="s">
        <v>383</v>
      </c>
      <c r="D1458" s="23"/>
      <c r="E1458" s="8">
        <v>44</v>
      </c>
      <c r="F1458" s="8" t="s">
        <v>152</v>
      </c>
      <c r="G1458" s="49">
        <v>15</v>
      </c>
      <c r="H1458" s="165">
        <f t="shared" si="106"/>
        <v>660</v>
      </c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56"/>
    </row>
    <row r="1459" spans="1:22" x14ac:dyDescent="0.25">
      <c r="A1459" s="25">
        <v>1448</v>
      </c>
      <c r="B1459" s="23"/>
      <c r="C1459" s="1" t="s">
        <v>755</v>
      </c>
      <c r="D1459" s="23"/>
      <c r="E1459" s="8">
        <v>22</v>
      </c>
      <c r="F1459" s="8" t="s">
        <v>152</v>
      </c>
      <c r="G1459" s="49">
        <v>400</v>
      </c>
      <c r="H1459" s="165">
        <f t="shared" si="106"/>
        <v>8800</v>
      </c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56"/>
    </row>
    <row r="1460" spans="1:22" x14ac:dyDescent="0.25">
      <c r="A1460" s="25">
        <v>1449</v>
      </c>
      <c r="B1460" s="23"/>
      <c r="C1460" s="1" t="s">
        <v>756</v>
      </c>
      <c r="D1460" s="23"/>
      <c r="E1460" s="8">
        <v>22</v>
      </c>
      <c r="F1460" s="23" t="s">
        <v>567</v>
      </c>
      <c r="G1460" s="49">
        <v>120</v>
      </c>
      <c r="H1460" s="165">
        <f t="shared" si="106"/>
        <v>2640</v>
      </c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56"/>
    </row>
    <row r="1461" spans="1:22" x14ac:dyDescent="0.25">
      <c r="A1461" s="25">
        <v>1450</v>
      </c>
      <c r="B1461" s="23"/>
      <c r="C1461" s="1" t="s">
        <v>757</v>
      </c>
      <c r="D1461" s="23"/>
      <c r="E1461" s="8">
        <v>22</v>
      </c>
      <c r="F1461" s="8" t="s">
        <v>152</v>
      </c>
      <c r="G1461" s="49">
        <v>70</v>
      </c>
      <c r="H1461" s="165">
        <f t="shared" si="106"/>
        <v>1540</v>
      </c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56"/>
    </row>
    <row r="1462" spans="1:22" x14ac:dyDescent="0.25">
      <c r="A1462" s="25">
        <v>1451</v>
      </c>
      <c r="B1462" s="23"/>
      <c r="C1462" s="1" t="s">
        <v>415</v>
      </c>
      <c r="D1462" s="23"/>
      <c r="E1462" s="8">
        <v>22</v>
      </c>
      <c r="F1462" s="23" t="s">
        <v>567</v>
      </c>
      <c r="G1462" s="49">
        <v>100</v>
      </c>
      <c r="H1462" s="165">
        <f t="shared" si="106"/>
        <v>2200</v>
      </c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56"/>
    </row>
    <row r="1463" spans="1:22" x14ac:dyDescent="0.25">
      <c r="A1463" s="25">
        <v>1452</v>
      </c>
      <c r="B1463" s="23"/>
      <c r="C1463" s="1" t="s">
        <v>758</v>
      </c>
      <c r="D1463" s="23"/>
      <c r="E1463" s="8">
        <v>22</v>
      </c>
      <c r="F1463" s="8" t="s">
        <v>765</v>
      </c>
      <c r="G1463" s="49">
        <v>100</v>
      </c>
      <c r="H1463" s="165">
        <f t="shared" si="106"/>
        <v>2200</v>
      </c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56"/>
    </row>
    <row r="1464" spans="1:22" x14ac:dyDescent="0.25">
      <c r="A1464" s="25">
        <v>1453</v>
      </c>
      <c r="B1464" s="23"/>
      <c r="C1464" s="1" t="s">
        <v>440</v>
      </c>
      <c r="D1464" s="23"/>
      <c r="E1464" s="8">
        <v>22</v>
      </c>
      <c r="F1464" s="8" t="s">
        <v>152</v>
      </c>
      <c r="G1464" s="49">
        <v>100</v>
      </c>
      <c r="H1464" s="165">
        <f t="shared" si="106"/>
        <v>2200</v>
      </c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56"/>
    </row>
    <row r="1465" spans="1:22" x14ac:dyDescent="0.25">
      <c r="A1465" s="25">
        <v>1454</v>
      </c>
      <c r="B1465" s="23"/>
      <c r="C1465" s="1" t="s">
        <v>759</v>
      </c>
      <c r="D1465" s="23"/>
      <c r="E1465" s="8">
        <v>22</v>
      </c>
      <c r="F1465" s="8" t="s">
        <v>152</v>
      </c>
      <c r="G1465" s="49">
        <v>125</v>
      </c>
      <c r="H1465" s="165">
        <f t="shared" si="106"/>
        <v>2750</v>
      </c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56"/>
    </row>
    <row r="1466" spans="1:22" x14ac:dyDescent="0.25">
      <c r="A1466" s="25">
        <v>1455</v>
      </c>
      <c r="B1466" s="23"/>
      <c r="C1466" s="1" t="s">
        <v>760</v>
      </c>
      <c r="D1466" s="23"/>
      <c r="E1466" s="8">
        <v>22</v>
      </c>
      <c r="F1466" s="23" t="s">
        <v>567</v>
      </c>
      <c r="G1466" s="49">
        <v>60</v>
      </c>
      <c r="H1466" s="165">
        <f t="shared" si="106"/>
        <v>1320</v>
      </c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56"/>
    </row>
    <row r="1467" spans="1:22" x14ac:dyDescent="0.25">
      <c r="A1467" s="25">
        <v>1456</v>
      </c>
      <c r="B1467" s="23"/>
      <c r="C1467" s="1" t="s">
        <v>444</v>
      </c>
      <c r="D1467" s="23"/>
      <c r="E1467" s="8">
        <v>44</v>
      </c>
      <c r="F1467" s="8" t="s">
        <v>152</v>
      </c>
      <c r="G1467" s="49">
        <v>190</v>
      </c>
      <c r="H1467" s="165">
        <f>G1467*E1467</f>
        <v>8360</v>
      </c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56"/>
    </row>
    <row r="1468" spans="1:22" x14ac:dyDescent="0.25">
      <c r="A1468" s="25">
        <v>1457</v>
      </c>
      <c r="B1468" s="23"/>
      <c r="C1468" s="14"/>
      <c r="D1468" s="23"/>
      <c r="E1468" s="84"/>
      <c r="F1468" s="23"/>
      <c r="G1468" s="165"/>
      <c r="H1468" s="165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56"/>
    </row>
    <row r="1469" spans="1:22" ht="30" x14ac:dyDescent="0.25">
      <c r="A1469" s="25">
        <v>1458</v>
      </c>
      <c r="B1469" s="89" t="s">
        <v>111</v>
      </c>
      <c r="C1469" s="90" t="s">
        <v>46</v>
      </c>
      <c r="D1469" s="89" t="s">
        <v>27</v>
      </c>
      <c r="E1469" s="89"/>
      <c r="F1469" s="89"/>
      <c r="G1469" s="163"/>
      <c r="H1469" s="167">
        <v>92866</v>
      </c>
      <c r="I1469" s="89" t="s">
        <v>93</v>
      </c>
      <c r="J1469" s="60"/>
      <c r="K1469" s="60"/>
      <c r="L1469" s="60"/>
      <c r="M1469" s="60">
        <v>1</v>
      </c>
      <c r="N1469" s="60"/>
      <c r="O1469" s="60"/>
      <c r="P1469" s="60"/>
      <c r="Q1469" s="60">
        <v>1</v>
      </c>
      <c r="R1469" s="60"/>
      <c r="S1469" s="60"/>
      <c r="T1469" s="60"/>
      <c r="U1469" s="60"/>
      <c r="V1469" s="56"/>
    </row>
    <row r="1470" spans="1:22" x14ac:dyDescent="0.25">
      <c r="A1470" s="25">
        <v>1459</v>
      </c>
      <c r="B1470" s="23"/>
      <c r="C1470" s="11" t="s">
        <v>786</v>
      </c>
      <c r="D1470" s="23"/>
      <c r="E1470" s="2">
        <f>20*2</f>
        <v>40</v>
      </c>
      <c r="F1470" s="23" t="s">
        <v>567</v>
      </c>
      <c r="G1470" s="24">
        <v>1300</v>
      </c>
      <c r="H1470" s="176">
        <f>G1470*E1470</f>
        <v>52000</v>
      </c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56"/>
    </row>
    <row r="1471" spans="1:22" x14ac:dyDescent="0.25">
      <c r="A1471" s="25">
        <v>1460</v>
      </c>
      <c r="B1471" s="23"/>
      <c r="C1471" s="11" t="s">
        <v>383</v>
      </c>
      <c r="D1471" s="23"/>
      <c r="E1471" s="2">
        <f>10*2</f>
        <v>20</v>
      </c>
      <c r="F1471" s="23" t="s">
        <v>567</v>
      </c>
      <c r="G1471" s="24">
        <v>150</v>
      </c>
      <c r="H1471" s="176">
        <f t="shared" ref="H1471:H1484" si="107">G1471*E1471</f>
        <v>3000</v>
      </c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56"/>
    </row>
    <row r="1472" spans="1:22" x14ac:dyDescent="0.25">
      <c r="A1472" s="25">
        <v>1461</v>
      </c>
      <c r="B1472" s="23"/>
      <c r="C1472" s="11" t="s">
        <v>922</v>
      </c>
      <c r="D1472" s="23"/>
      <c r="E1472" s="2">
        <f>2*2</f>
        <v>4</v>
      </c>
      <c r="F1472" s="23" t="s">
        <v>567</v>
      </c>
      <c r="G1472" s="24">
        <v>320</v>
      </c>
      <c r="H1472" s="176">
        <f t="shared" si="107"/>
        <v>1280</v>
      </c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56"/>
    </row>
    <row r="1473" spans="1:22" x14ac:dyDescent="0.25">
      <c r="A1473" s="25">
        <v>1462</v>
      </c>
      <c r="B1473" s="23"/>
      <c r="C1473" s="11" t="s">
        <v>774</v>
      </c>
      <c r="D1473" s="23"/>
      <c r="E1473" s="2">
        <f>15*2</f>
        <v>30</v>
      </c>
      <c r="F1473" s="23" t="s">
        <v>567</v>
      </c>
      <c r="G1473" s="24">
        <v>320</v>
      </c>
      <c r="H1473" s="176">
        <f t="shared" si="107"/>
        <v>9600</v>
      </c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56"/>
    </row>
    <row r="1474" spans="1:22" x14ac:dyDescent="0.25">
      <c r="A1474" s="25">
        <v>1463</v>
      </c>
      <c r="B1474" s="23"/>
      <c r="C1474" s="11" t="s">
        <v>787</v>
      </c>
      <c r="D1474" s="23"/>
      <c r="E1474" s="2">
        <f>8*2</f>
        <v>16</v>
      </c>
      <c r="F1474" s="23" t="s">
        <v>567</v>
      </c>
      <c r="G1474" s="24">
        <v>88</v>
      </c>
      <c r="H1474" s="176">
        <f t="shared" si="107"/>
        <v>1408</v>
      </c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56"/>
    </row>
    <row r="1475" spans="1:22" x14ac:dyDescent="0.25">
      <c r="A1475" s="25">
        <v>1464</v>
      </c>
      <c r="B1475" s="23"/>
      <c r="C1475" s="11" t="s">
        <v>788</v>
      </c>
      <c r="D1475" s="23"/>
      <c r="E1475" s="2">
        <f>3*2</f>
        <v>6</v>
      </c>
      <c r="F1475" s="23" t="s">
        <v>567</v>
      </c>
      <c r="G1475" s="24">
        <v>215</v>
      </c>
      <c r="H1475" s="176">
        <f t="shared" si="107"/>
        <v>1290</v>
      </c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56"/>
    </row>
    <row r="1476" spans="1:22" x14ac:dyDescent="0.25">
      <c r="A1476" s="25">
        <v>1465</v>
      </c>
      <c r="B1476" s="23"/>
      <c r="C1476" s="11" t="s">
        <v>756</v>
      </c>
      <c r="D1476" s="23"/>
      <c r="E1476" s="2">
        <f>7*2</f>
        <v>14</v>
      </c>
      <c r="F1476" s="23" t="s">
        <v>567</v>
      </c>
      <c r="G1476" s="24">
        <v>115</v>
      </c>
      <c r="H1476" s="176">
        <f t="shared" si="107"/>
        <v>1610</v>
      </c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56"/>
    </row>
    <row r="1477" spans="1:22" x14ac:dyDescent="0.25">
      <c r="A1477" s="25">
        <v>1466</v>
      </c>
      <c r="B1477" s="23"/>
      <c r="C1477" s="11" t="s">
        <v>776</v>
      </c>
      <c r="D1477" s="23"/>
      <c r="E1477" s="2">
        <f>3*2</f>
        <v>6</v>
      </c>
      <c r="F1477" s="23" t="s">
        <v>567</v>
      </c>
      <c r="G1477" s="24">
        <v>285</v>
      </c>
      <c r="H1477" s="176">
        <f t="shared" si="107"/>
        <v>1710</v>
      </c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56"/>
    </row>
    <row r="1478" spans="1:22" x14ac:dyDescent="0.25">
      <c r="A1478" s="25">
        <v>1467</v>
      </c>
      <c r="B1478" s="23"/>
      <c r="C1478" s="11" t="s">
        <v>789</v>
      </c>
      <c r="D1478" s="23"/>
      <c r="E1478" s="2">
        <f>8*2</f>
        <v>16</v>
      </c>
      <c r="F1478" s="2" t="s">
        <v>152</v>
      </c>
      <c r="G1478" s="24">
        <v>125</v>
      </c>
      <c r="H1478" s="176">
        <f t="shared" si="107"/>
        <v>2000</v>
      </c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56"/>
    </row>
    <row r="1479" spans="1:22" x14ac:dyDescent="0.25">
      <c r="A1479" s="25">
        <v>1468</v>
      </c>
      <c r="B1479" s="23"/>
      <c r="C1479" s="11" t="s">
        <v>790</v>
      </c>
      <c r="D1479" s="23"/>
      <c r="E1479" s="2">
        <f>8*2</f>
        <v>16</v>
      </c>
      <c r="F1479" s="2" t="s">
        <v>152</v>
      </c>
      <c r="G1479" s="24">
        <v>185</v>
      </c>
      <c r="H1479" s="176">
        <f t="shared" si="107"/>
        <v>2960</v>
      </c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56"/>
    </row>
    <row r="1480" spans="1:22" x14ac:dyDescent="0.25">
      <c r="A1480" s="25">
        <v>1469</v>
      </c>
      <c r="B1480" s="23"/>
      <c r="C1480" s="11" t="s">
        <v>791</v>
      </c>
      <c r="D1480" s="23"/>
      <c r="E1480" s="2">
        <f>8*2</f>
        <v>16</v>
      </c>
      <c r="F1480" s="23" t="s">
        <v>567</v>
      </c>
      <c r="G1480" s="24">
        <v>375</v>
      </c>
      <c r="H1480" s="176">
        <f t="shared" si="107"/>
        <v>6000</v>
      </c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56"/>
    </row>
    <row r="1481" spans="1:22" x14ac:dyDescent="0.25">
      <c r="A1481" s="25">
        <v>1470</v>
      </c>
      <c r="B1481" s="23"/>
      <c r="C1481" s="11" t="s">
        <v>792</v>
      </c>
      <c r="D1481" s="23"/>
      <c r="E1481" s="2">
        <f>8*2</f>
        <v>16</v>
      </c>
      <c r="F1481" s="23" t="s">
        <v>567</v>
      </c>
      <c r="G1481" s="24">
        <v>65</v>
      </c>
      <c r="H1481" s="176">
        <f t="shared" si="107"/>
        <v>1040</v>
      </c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56"/>
    </row>
    <row r="1482" spans="1:22" x14ac:dyDescent="0.25">
      <c r="A1482" s="25">
        <v>1471</v>
      </c>
      <c r="B1482" s="23"/>
      <c r="C1482" s="11" t="s">
        <v>793</v>
      </c>
      <c r="D1482" s="23"/>
      <c r="E1482" s="2">
        <f>3*2</f>
        <v>6</v>
      </c>
      <c r="F1482" s="2" t="s">
        <v>152</v>
      </c>
      <c r="G1482" s="24">
        <v>133</v>
      </c>
      <c r="H1482" s="176">
        <f t="shared" si="107"/>
        <v>798</v>
      </c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56"/>
    </row>
    <row r="1483" spans="1:22" x14ac:dyDescent="0.25">
      <c r="A1483" s="25">
        <v>1472</v>
      </c>
      <c r="B1483" s="23"/>
      <c r="C1483" s="11" t="s">
        <v>794</v>
      </c>
      <c r="D1483" s="23"/>
      <c r="E1483" s="2">
        <f>3*2</f>
        <v>6</v>
      </c>
      <c r="F1483" s="23" t="s">
        <v>567</v>
      </c>
      <c r="G1483" s="24">
        <v>670</v>
      </c>
      <c r="H1483" s="176">
        <f t="shared" si="107"/>
        <v>4020</v>
      </c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56"/>
    </row>
    <row r="1484" spans="1:22" x14ac:dyDescent="0.25">
      <c r="A1484" s="25">
        <v>1473</v>
      </c>
      <c r="B1484" s="23"/>
      <c r="C1484" s="11" t="s">
        <v>795</v>
      </c>
      <c r="D1484" s="23"/>
      <c r="E1484" s="2">
        <f>5*2</f>
        <v>10</v>
      </c>
      <c r="F1484" s="23" t="s">
        <v>567</v>
      </c>
      <c r="G1484" s="24">
        <v>415</v>
      </c>
      <c r="H1484" s="176">
        <f t="shared" si="107"/>
        <v>4150</v>
      </c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56"/>
    </row>
    <row r="1485" spans="1:22" x14ac:dyDescent="0.25">
      <c r="A1485" s="25">
        <v>1474</v>
      </c>
      <c r="B1485" s="23"/>
      <c r="C1485" s="14"/>
      <c r="D1485" s="23"/>
      <c r="E1485" s="84"/>
      <c r="F1485" s="23"/>
      <c r="G1485" s="165"/>
      <c r="H1485" s="165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56"/>
    </row>
    <row r="1486" spans="1:22" ht="45" x14ac:dyDescent="0.25">
      <c r="A1486" s="25">
        <v>1475</v>
      </c>
      <c r="B1486" s="89" t="s">
        <v>111</v>
      </c>
      <c r="C1486" s="90" t="s">
        <v>113</v>
      </c>
      <c r="D1486" s="89" t="s">
        <v>27</v>
      </c>
      <c r="E1486" s="89"/>
      <c r="F1486" s="89"/>
      <c r="G1486" s="163"/>
      <c r="H1486" s="167">
        <v>166400</v>
      </c>
      <c r="I1486" s="89" t="s">
        <v>93</v>
      </c>
      <c r="J1486" s="60">
        <v>1</v>
      </c>
      <c r="K1486" s="60">
        <v>1</v>
      </c>
      <c r="L1486" s="60">
        <v>1</v>
      </c>
      <c r="M1486" s="60">
        <v>1</v>
      </c>
      <c r="N1486" s="60">
        <v>1</v>
      </c>
      <c r="O1486" s="60">
        <v>1</v>
      </c>
      <c r="P1486" s="60">
        <v>1</v>
      </c>
      <c r="Q1486" s="60">
        <v>1</v>
      </c>
      <c r="R1486" s="60">
        <v>1</v>
      </c>
      <c r="S1486" s="60">
        <v>1</v>
      </c>
      <c r="T1486" s="60">
        <v>1</v>
      </c>
      <c r="U1486" s="60">
        <v>1</v>
      </c>
      <c r="V1486" s="56"/>
    </row>
    <row r="1487" spans="1:22" x14ac:dyDescent="0.25">
      <c r="A1487" s="25">
        <v>1476</v>
      </c>
      <c r="B1487" s="23"/>
      <c r="C1487" s="14" t="s">
        <v>661</v>
      </c>
      <c r="D1487" s="23"/>
      <c r="E1487" s="84">
        <v>20</v>
      </c>
      <c r="F1487" s="23" t="s">
        <v>567</v>
      </c>
      <c r="G1487" s="165">
        <v>1250</v>
      </c>
      <c r="H1487" s="165">
        <v>25000</v>
      </c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56"/>
    </row>
    <row r="1488" spans="1:22" x14ac:dyDescent="0.25">
      <c r="A1488" s="25">
        <v>1477</v>
      </c>
      <c r="B1488" s="23"/>
      <c r="C1488" s="14" t="s">
        <v>563</v>
      </c>
      <c r="D1488" s="23"/>
      <c r="E1488" s="84">
        <v>300</v>
      </c>
      <c r="F1488" s="23" t="s">
        <v>152</v>
      </c>
      <c r="G1488" s="165">
        <v>150</v>
      </c>
      <c r="H1488" s="165">
        <v>45000</v>
      </c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56"/>
    </row>
    <row r="1489" spans="1:22" x14ac:dyDescent="0.25">
      <c r="A1489" s="25">
        <v>1478</v>
      </c>
      <c r="B1489" s="23"/>
      <c r="C1489" s="14" t="s">
        <v>662</v>
      </c>
      <c r="D1489" s="23"/>
      <c r="E1489" s="84">
        <v>4</v>
      </c>
      <c r="F1489" s="23" t="s">
        <v>571</v>
      </c>
      <c r="G1489" s="165">
        <v>1600</v>
      </c>
      <c r="H1489" s="165">
        <v>6400</v>
      </c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56"/>
    </row>
    <row r="1490" spans="1:22" x14ac:dyDescent="0.25">
      <c r="A1490" s="25">
        <v>1479</v>
      </c>
      <c r="B1490" s="23"/>
      <c r="C1490" s="14" t="s">
        <v>660</v>
      </c>
      <c r="D1490" s="23"/>
      <c r="E1490" s="84">
        <v>300</v>
      </c>
      <c r="F1490" s="23" t="s">
        <v>571</v>
      </c>
      <c r="G1490" s="165">
        <v>300</v>
      </c>
      <c r="H1490" s="165">
        <v>90000</v>
      </c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56"/>
    </row>
    <row r="1491" spans="1:22" x14ac:dyDescent="0.25">
      <c r="A1491" s="25">
        <v>1480</v>
      </c>
      <c r="B1491" s="23"/>
      <c r="C1491" s="14"/>
      <c r="D1491" s="23"/>
      <c r="E1491" s="84"/>
      <c r="F1491" s="23"/>
      <c r="G1491" s="165"/>
      <c r="H1491" s="165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56"/>
    </row>
    <row r="1492" spans="1:22" ht="30" x14ac:dyDescent="0.25">
      <c r="A1492" s="25">
        <v>1481</v>
      </c>
      <c r="B1492" s="89" t="s">
        <v>111</v>
      </c>
      <c r="C1492" s="90" t="s">
        <v>82</v>
      </c>
      <c r="D1492" s="89" t="s">
        <v>27</v>
      </c>
      <c r="E1492" s="89"/>
      <c r="F1492" s="89"/>
      <c r="G1492" s="163"/>
      <c r="H1492" s="167">
        <v>33485</v>
      </c>
      <c r="I1492" s="89" t="s">
        <v>93</v>
      </c>
      <c r="J1492" s="60">
        <v>2</v>
      </c>
      <c r="K1492" s="60">
        <v>2</v>
      </c>
      <c r="L1492" s="60"/>
      <c r="M1492" s="60"/>
      <c r="N1492" s="60"/>
      <c r="O1492" s="60"/>
      <c r="P1492" s="60"/>
      <c r="Q1492" s="60"/>
      <c r="R1492" s="60"/>
      <c r="S1492" s="60"/>
      <c r="T1492" s="60"/>
      <c r="U1492" s="60"/>
      <c r="V1492" s="56"/>
    </row>
    <row r="1493" spans="1:22" x14ac:dyDescent="0.25">
      <c r="A1493" s="25">
        <v>1482</v>
      </c>
      <c r="B1493" s="23"/>
      <c r="C1493" s="14" t="s">
        <v>479</v>
      </c>
      <c r="D1493" s="23"/>
      <c r="E1493" s="84">
        <v>2</v>
      </c>
      <c r="F1493" s="23" t="s">
        <v>567</v>
      </c>
      <c r="G1493" s="165">
        <v>1475</v>
      </c>
      <c r="H1493" s="165">
        <v>2950</v>
      </c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56"/>
    </row>
    <row r="1494" spans="1:22" x14ac:dyDescent="0.25">
      <c r="A1494" s="25">
        <v>1483</v>
      </c>
      <c r="B1494" s="23"/>
      <c r="C1494" s="14" t="s">
        <v>480</v>
      </c>
      <c r="D1494" s="23"/>
      <c r="E1494" s="84">
        <v>4</v>
      </c>
      <c r="F1494" s="23" t="s">
        <v>567</v>
      </c>
      <c r="G1494" s="165">
        <v>1375</v>
      </c>
      <c r="H1494" s="165">
        <v>5500</v>
      </c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56"/>
    </row>
    <row r="1495" spans="1:22" x14ac:dyDescent="0.25">
      <c r="A1495" s="25">
        <v>1484</v>
      </c>
      <c r="B1495" s="23"/>
      <c r="C1495" s="14" t="s">
        <v>307</v>
      </c>
      <c r="D1495" s="23"/>
      <c r="E1495" s="84">
        <v>5</v>
      </c>
      <c r="F1495" s="23" t="s">
        <v>309</v>
      </c>
      <c r="G1495" s="165">
        <v>370</v>
      </c>
      <c r="H1495" s="165">
        <v>1850</v>
      </c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56"/>
    </row>
    <row r="1496" spans="1:22" x14ac:dyDescent="0.25">
      <c r="A1496" s="25">
        <v>1485</v>
      </c>
      <c r="B1496" s="23"/>
      <c r="C1496" s="14" t="s">
        <v>383</v>
      </c>
      <c r="D1496" s="23"/>
      <c r="E1496" s="84">
        <v>1</v>
      </c>
      <c r="F1496" s="23" t="s">
        <v>262</v>
      </c>
      <c r="G1496" s="165">
        <v>115</v>
      </c>
      <c r="H1496" s="165">
        <v>115</v>
      </c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56"/>
    </row>
    <row r="1497" spans="1:22" x14ac:dyDescent="0.25">
      <c r="A1497" s="25">
        <v>1486</v>
      </c>
      <c r="B1497" s="23"/>
      <c r="C1497" s="14" t="s">
        <v>663</v>
      </c>
      <c r="D1497" s="23"/>
      <c r="E1497" s="84">
        <v>10</v>
      </c>
      <c r="F1497" s="23" t="s">
        <v>152</v>
      </c>
      <c r="G1497" s="165">
        <v>260</v>
      </c>
      <c r="H1497" s="165">
        <v>2600</v>
      </c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56"/>
    </row>
    <row r="1498" spans="1:22" x14ac:dyDescent="0.25">
      <c r="A1498" s="25">
        <v>1487</v>
      </c>
      <c r="B1498" s="23"/>
      <c r="C1498" s="14" t="s">
        <v>664</v>
      </c>
      <c r="D1498" s="23"/>
      <c r="E1498" s="84">
        <v>3</v>
      </c>
      <c r="F1498" s="8" t="s">
        <v>291</v>
      </c>
      <c r="G1498" s="165">
        <v>400</v>
      </c>
      <c r="H1498" s="165">
        <v>1200</v>
      </c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56"/>
    </row>
    <row r="1499" spans="1:22" x14ac:dyDescent="0.25">
      <c r="A1499" s="25">
        <v>1488</v>
      </c>
      <c r="B1499" s="23"/>
      <c r="C1499" s="14" t="s">
        <v>270</v>
      </c>
      <c r="D1499" s="23"/>
      <c r="E1499" s="84">
        <v>3</v>
      </c>
      <c r="F1499" s="8" t="s">
        <v>291</v>
      </c>
      <c r="G1499" s="165">
        <v>400</v>
      </c>
      <c r="H1499" s="165">
        <v>1200</v>
      </c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56"/>
    </row>
    <row r="1500" spans="1:22" x14ac:dyDescent="0.25">
      <c r="A1500" s="25">
        <v>1489</v>
      </c>
      <c r="B1500" s="23"/>
      <c r="C1500" s="14" t="s">
        <v>269</v>
      </c>
      <c r="D1500" s="23"/>
      <c r="E1500" s="84">
        <v>3</v>
      </c>
      <c r="F1500" s="8" t="s">
        <v>291</v>
      </c>
      <c r="G1500" s="165">
        <v>400</v>
      </c>
      <c r="H1500" s="165">
        <v>1200</v>
      </c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56"/>
    </row>
    <row r="1501" spans="1:22" x14ac:dyDescent="0.25">
      <c r="A1501" s="25">
        <v>1490</v>
      </c>
      <c r="B1501" s="23"/>
      <c r="C1501" s="14" t="s">
        <v>268</v>
      </c>
      <c r="D1501" s="23"/>
      <c r="E1501" s="84">
        <v>4</v>
      </c>
      <c r="F1501" s="8" t="s">
        <v>291</v>
      </c>
      <c r="G1501" s="165">
        <v>400</v>
      </c>
      <c r="H1501" s="165">
        <v>1600</v>
      </c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56"/>
    </row>
    <row r="1502" spans="1:22" x14ac:dyDescent="0.25">
      <c r="A1502" s="25">
        <v>1491</v>
      </c>
      <c r="B1502" s="23"/>
      <c r="C1502" s="14" t="s">
        <v>625</v>
      </c>
      <c r="D1502" s="23"/>
      <c r="E1502" s="84">
        <v>1</v>
      </c>
      <c r="F1502" s="23" t="s">
        <v>262</v>
      </c>
      <c r="G1502" s="165">
        <v>350</v>
      </c>
      <c r="H1502" s="165">
        <v>350</v>
      </c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56"/>
    </row>
    <row r="1503" spans="1:22" x14ac:dyDescent="0.25">
      <c r="A1503" s="25">
        <v>1492</v>
      </c>
      <c r="B1503" s="23"/>
      <c r="C1503" s="14" t="s">
        <v>577</v>
      </c>
      <c r="D1503" s="23"/>
      <c r="E1503" s="84">
        <v>3</v>
      </c>
      <c r="F1503" s="23" t="s">
        <v>309</v>
      </c>
      <c r="G1503" s="165">
        <v>435</v>
      </c>
      <c r="H1503" s="165">
        <v>1305</v>
      </c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56"/>
    </row>
    <row r="1504" spans="1:22" x14ac:dyDescent="0.25">
      <c r="A1504" s="25">
        <v>1493</v>
      </c>
      <c r="B1504" s="23"/>
      <c r="C1504" s="14" t="s">
        <v>665</v>
      </c>
      <c r="D1504" s="23"/>
      <c r="E1504" s="84">
        <v>3</v>
      </c>
      <c r="F1504" s="23" t="s">
        <v>309</v>
      </c>
      <c r="G1504" s="165">
        <v>585</v>
      </c>
      <c r="H1504" s="165">
        <v>1755</v>
      </c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56"/>
    </row>
    <row r="1505" spans="1:22" x14ac:dyDescent="0.25">
      <c r="A1505" s="25">
        <v>1494</v>
      </c>
      <c r="B1505" s="23"/>
      <c r="C1505" s="14" t="s">
        <v>666</v>
      </c>
      <c r="D1505" s="23"/>
      <c r="E1505" s="84">
        <v>3</v>
      </c>
      <c r="F1505" s="23" t="s">
        <v>152</v>
      </c>
      <c r="G1505" s="165">
        <v>480</v>
      </c>
      <c r="H1505" s="165">
        <v>1440</v>
      </c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56"/>
    </row>
    <row r="1506" spans="1:22" x14ac:dyDescent="0.25">
      <c r="A1506" s="25">
        <v>1495</v>
      </c>
      <c r="B1506" s="23"/>
      <c r="C1506" s="14" t="s">
        <v>667</v>
      </c>
      <c r="D1506" s="23"/>
      <c r="E1506" s="84">
        <v>10</v>
      </c>
      <c r="F1506" s="23" t="s">
        <v>567</v>
      </c>
      <c r="G1506" s="165">
        <v>180</v>
      </c>
      <c r="H1506" s="165">
        <v>1800</v>
      </c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56"/>
    </row>
    <row r="1507" spans="1:22" x14ac:dyDescent="0.25">
      <c r="A1507" s="25">
        <v>1496</v>
      </c>
      <c r="B1507" s="23"/>
      <c r="C1507" s="14" t="s">
        <v>668</v>
      </c>
      <c r="D1507" s="23"/>
      <c r="E1507" s="84">
        <v>10</v>
      </c>
      <c r="F1507" s="23" t="s">
        <v>567</v>
      </c>
      <c r="G1507" s="165">
        <v>120</v>
      </c>
      <c r="H1507" s="165">
        <v>1200</v>
      </c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56"/>
    </row>
    <row r="1508" spans="1:22" x14ac:dyDescent="0.25">
      <c r="A1508" s="25">
        <v>1497</v>
      </c>
      <c r="B1508" s="23"/>
      <c r="C1508" s="14" t="s">
        <v>669</v>
      </c>
      <c r="D1508" s="23"/>
      <c r="E1508" s="84">
        <v>20</v>
      </c>
      <c r="F1508" s="23" t="s">
        <v>309</v>
      </c>
      <c r="G1508" s="165">
        <v>350</v>
      </c>
      <c r="H1508" s="165">
        <v>7000</v>
      </c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56"/>
    </row>
    <row r="1509" spans="1:22" x14ac:dyDescent="0.25">
      <c r="A1509" s="25">
        <v>1498</v>
      </c>
      <c r="B1509" s="23"/>
      <c r="C1509" s="14" t="s">
        <v>442</v>
      </c>
      <c r="D1509" s="23"/>
      <c r="E1509" s="84">
        <v>6</v>
      </c>
      <c r="F1509" s="23" t="s">
        <v>152</v>
      </c>
      <c r="G1509" s="165">
        <v>70</v>
      </c>
      <c r="H1509" s="165">
        <v>420</v>
      </c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56"/>
    </row>
    <row r="1510" spans="1:22" x14ac:dyDescent="0.25">
      <c r="A1510" s="25">
        <v>1499</v>
      </c>
      <c r="B1510" s="23"/>
      <c r="C1510" s="14"/>
      <c r="D1510" s="23"/>
      <c r="E1510" s="84"/>
      <c r="F1510" s="23"/>
      <c r="G1510" s="165"/>
      <c r="H1510" s="165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56"/>
    </row>
    <row r="1511" spans="1:22" ht="30" x14ac:dyDescent="0.25">
      <c r="A1511" s="25">
        <v>1500</v>
      </c>
      <c r="B1511" s="89" t="s">
        <v>111</v>
      </c>
      <c r="C1511" s="90" t="s">
        <v>94</v>
      </c>
      <c r="D1511" s="89" t="s">
        <v>27</v>
      </c>
      <c r="E1511" s="89"/>
      <c r="F1511" s="89"/>
      <c r="G1511" s="163"/>
      <c r="H1511" s="167">
        <v>116240</v>
      </c>
      <c r="I1511" s="89" t="s">
        <v>93</v>
      </c>
      <c r="J1511" s="60">
        <v>1</v>
      </c>
      <c r="K1511" s="60">
        <v>1</v>
      </c>
      <c r="L1511" s="60">
        <v>1</v>
      </c>
      <c r="M1511" s="60">
        <v>1</v>
      </c>
      <c r="N1511" s="60">
        <v>1</v>
      </c>
      <c r="O1511" s="60">
        <v>1</v>
      </c>
      <c r="P1511" s="60">
        <v>1</v>
      </c>
      <c r="Q1511" s="60">
        <v>1</v>
      </c>
      <c r="R1511" s="60">
        <v>1</v>
      </c>
      <c r="S1511" s="60">
        <v>1</v>
      </c>
      <c r="T1511" s="60">
        <v>1</v>
      </c>
      <c r="U1511" s="60">
        <v>1</v>
      </c>
      <c r="V1511" s="56"/>
    </row>
    <row r="1512" spans="1:22" x14ac:dyDescent="0.25">
      <c r="A1512" s="25">
        <v>1501</v>
      </c>
      <c r="B1512" s="23"/>
      <c r="C1512" s="14" t="s">
        <v>466</v>
      </c>
      <c r="D1512" s="23"/>
      <c r="E1512" s="84"/>
      <c r="F1512" s="23"/>
      <c r="G1512" s="165"/>
      <c r="H1512" s="165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56"/>
    </row>
    <row r="1513" spans="1:22" x14ac:dyDescent="0.25">
      <c r="A1513" s="25">
        <v>1502</v>
      </c>
      <c r="B1513" s="23"/>
      <c r="C1513" s="41" t="s">
        <v>959</v>
      </c>
      <c r="D1513" s="23"/>
      <c r="E1513" s="29">
        <f>50*2</f>
        <v>100</v>
      </c>
      <c r="F1513" s="29" t="s">
        <v>290</v>
      </c>
      <c r="G1513" s="42">
        <v>235</v>
      </c>
      <c r="H1513" s="165">
        <f>G1513*E1513</f>
        <v>23500</v>
      </c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56"/>
    </row>
    <row r="1514" spans="1:22" x14ac:dyDescent="0.25">
      <c r="A1514" s="25">
        <v>1503</v>
      </c>
      <c r="B1514" s="23"/>
      <c r="C1514" s="41" t="s">
        <v>960</v>
      </c>
      <c r="D1514" s="23"/>
      <c r="E1514" s="29">
        <f>40*2</f>
        <v>80</v>
      </c>
      <c r="F1514" s="29" t="s">
        <v>152</v>
      </c>
      <c r="G1514" s="42">
        <v>70</v>
      </c>
      <c r="H1514" s="165">
        <f t="shared" ref="H1514:H1524" si="108">G1514*E1514</f>
        <v>5600</v>
      </c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56"/>
    </row>
    <row r="1515" spans="1:22" x14ac:dyDescent="0.25">
      <c r="A1515" s="25">
        <v>1504</v>
      </c>
      <c r="B1515" s="23"/>
      <c r="C1515" s="41" t="s">
        <v>961</v>
      </c>
      <c r="D1515" s="23"/>
      <c r="E1515" s="29">
        <f>25*2</f>
        <v>50</v>
      </c>
      <c r="F1515" s="29" t="s">
        <v>152</v>
      </c>
      <c r="G1515" s="42">
        <v>60</v>
      </c>
      <c r="H1515" s="165">
        <f t="shared" si="108"/>
        <v>3000</v>
      </c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56"/>
    </row>
    <row r="1516" spans="1:22" x14ac:dyDescent="0.25">
      <c r="A1516" s="25">
        <v>1505</v>
      </c>
      <c r="B1516" s="23"/>
      <c r="C1516" s="41" t="s">
        <v>962</v>
      </c>
      <c r="D1516" s="23"/>
      <c r="E1516" s="29">
        <f>20*2</f>
        <v>40</v>
      </c>
      <c r="F1516" s="29" t="s">
        <v>152</v>
      </c>
      <c r="G1516" s="42">
        <v>35</v>
      </c>
      <c r="H1516" s="165">
        <f t="shared" si="108"/>
        <v>1400</v>
      </c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56"/>
    </row>
    <row r="1517" spans="1:22" x14ac:dyDescent="0.25">
      <c r="A1517" s="25">
        <v>1506</v>
      </c>
      <c r="B1517" s="23"/>
      <c r="C1517" s="41" t="s">
        <v>963</v>
      </c>
      <c r="D1517" s="23"/>
      <c r="E1517" s="29">
        <f>70*2</f>
        <v>140</v>
      </c>
      <c r="F1517" s="29" t="s">
        <v>152</v>
      </c>
      <c r="G1517" s="42">
        <v>10</v>
      </c>
      <c r="H1517" s="165">
        <f t="shared" si="108"/>
        <v>1400</v>
      </c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56"/>
    </row>
    <row r="1518" spans="1:22" x14ac:dyDescent="0.25">
      <c r="A1518" s="25">
        <v>1507</v>
      </c>
      <c r="B1518" s="23"/>
      <c r="C1518" s="41" t="s">
        <v>964</v>
      </c>
      <c r="D1518" s="23"/>
      <c r="E1518" s="29">
        <f>2*2</f>
        <v>4</v>
      </c>
      <c r="F1518" s="29" t="s">
        <v>567</v>
      </c>
      <c r="G1518" s="30">
        <v>1500</v>
      </c>
      <c r="H1518" s="165">
        <f t="shared" si="108"/>
        <v>6000</v>
      </c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56"/>
    </row>
    <row r="1519" spans="1:22" x14ac:dyDescent="0.25">
      <c r="A1519" s="25">
        <v>1508</v>
      </c>
      <c r="B1519" s="23"/>
      <c r="C1519" s="41" t="s">
        <v>965</v>
      </c>
      <c r="D1519" s="23"/>
      <c r="E1519" s="29">
        <f>48*2</f>
        <v>96</v>
      </c>
      <c r="F1519" s="23" t="s">
        <v>309</v>
      </c>
      <c r="G1519" s="42">
        <v>280</v>
      </c>
      <c r="H1519" s="165">
        <f t="shared" si="108"/>
        <v>26880</v>
      </c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56"/>
    </row>
    <row r="1520" spans="1:22" x14ac:dyDescent="0.25">
      <c r="A1520" s="25">
        <v>1509</v>
      </c>
      <c r="B1520" s="23"/>
      <c r="C1520" s="41" t="s">
        <v>966</v>
      </c>
      <c r="D1520" s="23"/>
      <c r="E1520" s="29">
        <f>24*2</f>
        <v>48</v>
      </c>
      <c r="F1520" s="29" t="s">
        <v>970</v>
      </c>
      <c r="G1520" s="42">
        <v>66</v>
      </c>
      <c r="H1520" s="165">
        <f t="shared" si="108"/>
        <v>3168</v>
      </c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56"/>
    </row>
    <row r="1521" spans="1:22" x14ac:dyDescent="0.25">
      <c r="A1521" s="25">
        <v>1510</v>
      </c>
      <c r="B1521" s="23"/>
      <c r="C1521" s="41" t="s">
        <v>967</v>
      </c>
      <c r="D1521" s="23"/>
      <c r="E1521" s="29">
        <f>12*2</f>
        <v>24</v>
      </c>
      <c r="F1521" s="29" t="s">
        <v>152</v>
      </c>
      <c r="G1521" s="30">
        <v>1250</v>
      </c>
      <c r="H1521" s="165">
        <f t="shared" si="108"/>
        <v>30000</v>
      </c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56"/>
    </row>
    <row r="1522" spans="1:22" x14ac:dyDescent="0.25">
      <c r="A1522" s="25">
        <v>1511</v>
      </c>
      <c r="B1522" s="23"/>
      <c r="C1522" s="41" t="s">
        <v>261</v>
      </c>
      <c r="D1522" s="23"/>
      <c r="E1522" s="29">
        <f>24*2</f>
        <v>48</v>
      </c>
      <c r="F1522" s="29" t="s">
        <v>152</v>
      </c>
      <c r="G1522" s="42">
        <v>115</v>
      </c>
      <c r="H1522" s="165">
        <f t="shared" si="108"/>
        <v>5520</v>
      </c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56"/>
    </row>
    <row r="1523" spans="1:22" x14ac:dyDescent="0.25">
      <c r="A1523" s="25">
        <v>1512</v>
      </c>
      <c r="B1523" s="23"/>
      <c r="C1523" s="41" t="s">
        <v>968</v>
      </c>
      <c r="D1523" s="23"/>
      <c r="E1523" s="29">
        <f>2*2</f>
        <v>4</v>
      </c>
      <c r="F1523" s="29" t="s">
        <v>152</v>
      </c>
      <c r="G1523" s="42">
        <v>193</v>
      </c>
      <c r="H1523" s="165">
        <f t="shared" si="108"/>
        <v>772</v>
      </c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56"/>
    </row>
    <row r="1524" spans="1:22" x14ac:dyDescent="0.25">
      <c r="A1524" s="25">
        <v>1513</v>
      </c>
      <c r="B1524" s="23"/>
      <c r="C1524" s="41" t="s">
        <v>969</v>
      </c>
      <c r="D1524" s="23"/>
      <c r="E1524" s="29">
        <f>3*2</f>
        <v>6</v>
      </c>
      <c r="F1524" s="36" t="s">
        <v>567</v>
      </c>
      <c r="G1524" s="42">
        <v>1500</v>
      </c>
      <c r="H1524" s="165">
        <f t="shared" si="108"/>
        <v>9000</v>
      </c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56"/>
    </row>
    <row r="1525" spans="1:22" x14ac:dyDescent="0.25">
      <c r="A1525" s="25">
        <v>1514</v>
      </c>
      <c r="B1525" s="23"/>
      <c r="C1525" s="14"/>
      <c r="D1525" s="23"/>
      <c r="E1525" s="84"/>
      <c r="F1525" s="23"/>
      <c r="G1525" s="165"/>
      <c r="H1525" s="165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56"/>
    </row>
    <row r="1526" spans="1:22" ht="30" x14ac:dyDescent="0.25">
      <c r="A1526" s="25">
        <v>1515</v>
      </c>
      <c r="B1526" s="89" t="s">
        <v>111</v>
      </c>
      <c r="C1526" s="90" t="s">
        <v>109</v>
      </c>
      <c r="D1526" s="89" t="s">
        <v>27</v>
      </c>
      <c r="E1526" s="89"/>
      <c r="F1526" s="89"/>
      <c r="G1526" s="163"/>
      <c r="H1526" s="167">
        <v>25706</v>
      </c>
      <c r="I1526" s="89" t="s">
        <v>93</v>
      </c>
      <c r="J1526" s="60">
        <v>1</v>
      </c>
      <c r="K1526" s="60">
        <v>1</v>
      </c>
      <c r="L1526" s="60"/>
      <c r="M1526" s="60"/>
      <c r="N1526" s="60"/>
      <c r="O1526" s="60"/>
      <c r="P1526" s="60"/>
      <c r="Q1526" s="60"/>
      <c r="R1526" s="60"/>
      <c r="S1526" s="60"/>
      <c r="T1526" s="60"/>
      <c r="U1526" s="60"/>
      <c r="V1526" s="56"/>
    </row>
    <row r="1527" spans="1:22" x14ac:dyDescent="0.25">
      <c r="A1527" s="25">
        <v>1516</v>
      </c>
      <c r="B1527" s="23"/>
      <c r="C1527" s="41" t="s">
        <v>941</v>
      </c>
      <c r="D1527" s="23"/>
      <c r="E1527" s="29">
        <v>12</v>
      </c>
      <c r="F1527" s="23" t="s">
        <v>567</v>
      </c>
      <c r="G1527" s="30">
        <v>120</v>
      </c>
      <c r="H1527" s="30">
        <f>G1527*E1527</f>
        <v>1440</v>
      </c>
      <c r="I1527" s="72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56"/>
    </row>
    <row r="1528" spans="1:22" x14ac:dyDescent="0.25">
      <c r="A1528" s="25">
        <v>1517</v>
      </c>
      <c r="B1528" s="23"/>
      <c r="C1528" s="41" t="s">
        <v>942</v>
      </c>
      <c r="D1528" s="23"/>
      <c r="E1528" s="29">
        <v>12</v>
      </c>
      <c r="F1528" s="29" t="s">
        <v>290</v>
      </c>
      <c r="G1528" s="30">
        <v>190.5</v>
      </c>
      <c r="H1528" s="30">
        <f t="shared" ref="H1528:H1541" si="109">G1528*E1528</f>
        <v>2286</v>
      </c>
      <c r="I1528" s="72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56"/>
    </row>
    <row r="1529" spans="1:22" x14ac:dyDescent="0.25">
      <c r="A1529" s="25">
        <v>1518</v>
      </c>
      <c r="B1529" s="23"/>
      <c r="C1529" s="41" t="s">
        <v>943</v>
      </c>
      <c r="D1529" s="23"/>
      <c r="E1529" s="29">
        <v>5</v>
      </c>
      <c r="F1529" s="36" t="s">
        <v>567</v>
      </c>
      <c r="G1529" s="30">
        <v>30</v>
      </c>
      <c r="H1529" s="30">
        <f t="shared" si="109"/>
        <v>150</v>
      </c>
      <c r="I1529" s="72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56"/>
    </row>
    <row r="1530" spans="1:22" x14ac:dyDescent="0.25">
      <c r="A1530" s="25">
        <v>1519</v>
      </c>
      <c r="B1530" s="23"/>
      <c r="C1530" s="41" t="s">
        <v>944</v>
      </c>
      <c r="D1530" s="23"/>
      <c r="E1530" s="29">
        <v>30</v>
      </c>
      <c r="F1530" s="29" t="s">
        <v>152</v>
      </c>
      <c r="G1530" s="30">
        <v>5</v>
      </c>
      <c r="H1530" s="30">
        <f t="shared" si="109"/>
        <v>150</v>
      </c>
      <c r="I1530" s="72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56"/>
    </row>
    <row r="1531" spans="1:22" x14ac:dyDescent="0.25">
      <c r="A1531" s="25">
        <v>1520</v>
      </c>
      <c r="B1531" s="23"/>
      <c r="C1531" s="41" t="s">
        <v>945</v>
      </c>
      <c r="D1531" s="23"/>
      <c r="E1531" s="29">
        <v>12</v>
      </c>
      <c r="F1531" s="29" t="s">
        <v>152</v>
      </c>
      <c r="G1531" s="30">
        <v>80</v>
      </c>
      <c r="H1531" s="30">
        <f t="shared" si="109"/>
        <v>960</v>
      </c>
      <c r="I1531" s="72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56"/>
    </row>
    <row r="1532" spans="1:22" x14ac:dyDescent="0.25">
      <c r="A1532" s="25">
        <v>1521</v>
      </c>
      <c r="B1532" s="23"/>
      <c r="C1532" s="41" t="s">
        <v>946</v>
      </c>
      <c r="D1532" s="23"/>
      <c r="E1532" s="29">
        <v>2</v>
      </c>
      <c r="F1532" s="23" t="s">
        <v>309</v>
      </c>
      <c r="G1532" s="30">
        <v>36</v>
      </c>
      <c r="H1532" s="30">
        <f t="shared" si="109"/>
        <v>72</v>
      </c>
      <c r="I1532" s="72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56"/>
    </row>
    <row r="1533" spans="1:22" x14ac:dyDescent="0.25">
      <c r="A1533" s="25">
        <v>1522</v>
      </c>
      <c r="B1533" s="23"/>
      <c r="C1533" s="41" t="s">
        <v>947</v>
      </c>
      <c r="D1533" s="23"/>
      <c r="E1533" s="29">
        <v>1</v>
      </c>
      <c r="F1533" s="23" t="s">
        <v>262</v>
      </c>
      <c r="G1533" s="30">
        <v>24</v>
      </c>
      <c r="H1533" s="30">
        <f t="shared" si="109"/>
        <v>24</v>
      </c>
      <c r="I1533" s="72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56"/>
    </row>
    <row r="1534" spans="1:22" x14ac:dyDescent="0.25">
      <c r="A1534" s="25">
        <v>1523</v>
      </c>
      <c r="B1534" s="23"/>
      <c r="C1534" s="41" t="s">
        <v>776</v>
      </c>
      <c r="D1534" s="23"/>
      <c r="E1534" s="29">
        <v>1</v>
      </c>
      <c r="F1534" s="29" t="s">
        <v>145</v>
      </c>
      <c r="G1534" s="30">
        <v>170</v>
      </c>
      <c r="H1534" s="30">
        <f t="shared" si="109"/>
        <v>170</v>
      </c>
      <c r="I1534" s="72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56"/>
    </row>
    <row r="1535" spans="1:22" x14ac:dyDescent="0.25">
      <c r="A1535" s="25">
        <v>1524</v>
      </c>
      <c r="B1535" s="23"/>
      <c r="C1535" s="41" t="s">
        <v>948</v>
      </c>
      <c r="D1535" s="23"/>
      <c r="E1535" s="29">
        <v>4</v>
      </c>
      <c r="F1535" s="29" t="s">
        <v>152</v>
      </c>
      <c r="G1535" s="30">
        <v>1350</v>
      </c>
      <c r="H1535" s="30">
        <f t="shared" si="109"/>
        <v>5400</v>
      </c>
      <c r="I1535" s="72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56"/>
    </row>
    <row r="1536" spans="1:22" x14ac:dyDescent="0.25">
      <c r="A1536" s="25">
        <v>1525</v>
      </c>
      <c r="B1536" s="23"/>
      <c r="C1536" s="41" t="s">
        <v>801</v>
      </c>
      <c r="D1536" s="23"/>
      <c r="E1536" s="29">
        <v>48</v>
      </c>
      <c r="F1536" s="29" t="s">
        <v>152</v>
      </c>
      <c r="G1536" s="30">
        <v>15</v>
      </c>
      <c r="H1536" s="30">
        <f t="shared" si="109"/>
        <v>720</v>
      </c>
      <c r="I1536" s="72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56"/>
    </row>
    <row r="1537" spans="1:22" x14ac:dyDescent="0.25">
      <c r="A1537" s="25">
        <v>1526</v>
      </c>
      <c r="B1537" s="23"/>
      <c r="C1537" s="41" t="s">
        <v>949</v>
      </c>
      <c r="D1537" s="23"/>
      <c r="E1537" s="29">
        <v>48</v>
      </c>
      <c r="F1537" s="29" t="s">
        <v>152</v>
      </c>
      <c r="G1537" s="30">
        <v>12.5</v>
      </c>
      <c r="H1537" s="30">
        <f t="shared" si="109"/>
        <v>600</v>
      </c>
      <c r="I1537" s="72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56"/>
    </row>
    <row r="1538" spans="1:22" x14ac:dyDescent="0.25">
      <c r="A1538" s="25">
        <v>1527</v>
      </c>
      <c r="B1538" s="23"/>
      <c r="C1538" s="41" t="s">
        <v>950</v>
      </c>
      <c r="D1538" s="23"/>
      <c r="E1538" s="29">
        <v>24</v>
      </c>
      <c r="F1538" s="23" t="s">
        <v>309</v>
      </c>
      <c r="G1538" s="30">
        <v>355</v>
      </c>
      <c r="H1538" s="30">
        <f t="shared" si="109"/>
        <v>8520</v>
      </c>
      <c r="I1538" s="72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56"/>
    </row>
    <row r="1539" spans="1:22" x14ac:dyDescent="0.25">
      <c r="A1539" s="25">
        <v>1528</v>
      </c>
      <c r="B1539" s="23"/>
      <c r="C1539" s="41" t="s">
        <v>951</v>
      </c>
      <c r="D1539" s="23"/>
      <c r="E1539" s="29">
        <v>1</v>
      </c>
      <c r="F1539" s="23" t="s">
        <v>262</v>
      </c>
      <c r="G1539" s="30">
        <v>1590</v>
      </c>
      <c r="H1539" s="30">
        <f t="shared" si="109"/>
        <v>1590</v>
      </c>
      <c r="I1539" s="72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56"/>
    </row>
    <row r="1540" spans="1:22" x14ac:dyDescent="0.25">
      <c r="A1540" s="25">
        <v>1529</v>
      </c>
      <c r="B1540" s="23"/>
      <c r="C1540" s="41" t="s">
        <v>952</v>
      </c>
      <c r="D1540" s="23"/>
      <c r="E1540" s="29">
        <v>24</v>
      </c>
      <c r="F1540" s="29" t="s">
        <v>152</v>
      </c>
      <c r="G1540" s="30">
        <v>75.5</v>
      </c>
      <c r="H1540" s="30">
        <f t="shared" si="109"/>
        <v>1812</v>
      </c>
      <c r="I1540" s="72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56"/>
    </row>
    <row r="1541" spans="1:22" x14ac:dyDescent="0.25">
      <c r="A1541" s="25">
        <v>1530</v>
      </c>
      <c r="B1541" s="23"/>
      <c r="C1541" s="41" t="s">
        <v>953</v>
      </c>
      <c r="D1541" s="23"/>
      <c r="E1541" s="29">
        <v>24</v>
      </c>
      <c r="F1541" s="29" t="s">
        <v>152</v>
      </c>
      <c r="G1541" s="30">
        <v>75.5</v>
      </c>
      <c r="H1541" s="30">
        <f t="shared" si="109"/>
        <v>1812</v>
      </c>
      <c r="I1541" s="72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56"/>
    </row>
    <row r="1542" spans="1:22" x14ac:dyDescent="0.25">
      <c r="A1542" s="25">
        <v>1531</v>
      </c>
      <c r="B1542" s="23"/>
      <c r="C1542" s="14"/>
      <c r="D1542" s="23"/>
      <c r="E1542" s="84"/>
      <c r="F1542" s="23"/>
      <c r="G1542" s="165"/>
      <c r="H1542" s="165"/>
      <c r="I1542" s="72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56"/>
    </row>
    <row r="1543" spans="1:22" ht="28.5" customHeight="1" x14ac:dyDescent="0.25">
      <c r="A1543" s="25">
        <v>1532</v>
      </c>
      <c r="B1543" s="89" t="s">
        <v>111</v>
      </c>
      <c r="C1543" s="90" t="s">
        <v>107</v>
      </c>
      <c r="D1543" s="89" t="s">
        <v>27</v>
      </c>
      <c r="E1543" s="89"/>
      <c r="F1543" s="89"/>
      <c r="G1543" s="163"/>
      <c r="H1543" s="167">
        <v>57600</v>
      </c>
      <c r="I1543" s="89" t="s">
        <v>93</v>
      </c>
      <c r="J1543" s="60">
        <v>1</v>
      </c>
      <c r="K1543" s="60">
        <v>1</v>
      </c>
      <c r="L1543" s="60">
        <v>1</v>
      </c>
      <c r="M1543" s="60">
        <v>1</v>
      </c>
      <c r="N1543" s="60">
        <v>1</v>
      </c>
      <c r="O1543" s="60">
        <v>1</v>
      </c>
      <c r="P1543" s="60">
        <v>1</v>
      </c>
      <c r="Q1543" s="60">
        <v>1</v>
      </c>
      <c r="R1543" s="60">
        <v>1</v>
      </c>
      <c r="S1543" s="60">
        <v>1</v>
      </c>
      <c r="T1543" s="60">
        <v>1</v>
      </c>
      <c r="U1543" s="60"/>
      <c r="V1543" s="56"/>
    </row>
    <row r="1544" spans="1:22" x14ac:dyDescent="0.25">
      <c r="A1544" s="25">
        <v>1533</v>
      </c>
      <c r="B1544" s="23"/>
      <c r="C1544" s="1" t="s">
        <v>375</v>
      </c>
      <c r="D1544" s="23"/>
      <c r="E1544" s="8">
        <v>20</v>
      </c>
      <c r="F1544" s="8" t="s">
        <v>290</v>
      </c>
      <c r="G1544" s="47">
        <v>350</v>
      </c>
      <c r="H1544" s="165">
        <f>G1544*E1544</f>
        <v>7000</v>
      </c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56"/>
    </row>
    <row r="1545" spans="1:22" x14ac:dyDescent="0.25">
      <c r="A1545" s="25">
        <v>1534</v>
      </c>
      <c r="B1545" s="23"/>
      <c r="C1545" s="1" t="s">
        <v>376</v>
      </c>
      <c r="D1545" s="23"/>
      <c r="E1545" s="8">
        <v>20</v>
      </c>
      <c r="F1545" s="8" t="s">
        <v>290</v>
      </c>
      <c r="G1545" s="47">
        <v>410</v>
      </c>
      <c r="H1545" s="165">
        <f t="shared" ref="H1545:H1561" si="110">G1545*E1545</f>
        <v>8200</v>
      </c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56"/>
    </row>
    <row r="1546" spans="1:22" x14ac:dyDescent="0.25">
      <c r="A1546" s="25">
        <v>1535</v>
      </c>
      <c r="B1546" s="23"/>
      <c r="C1546" s="1" t="s">
        <v>1020</v>
      </c>
      <c r="D1546" s="23"/>
      <c r="E1546" s="8">
        <v>100</v>
      </c>
      <c r="F1546" s="8" t="s">
        <v>152</v>
      </c>
      <c r="G1546" s="47">
        <v>7</v>
      </c>
      <c r="H1546" s="165">
        <f t="shared" si="110"/>
        <v>700</v>
      </c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56"/>
    </row>
    <row r="1547" spans="1:22" x14ac:dyDescent="0.25">
      <c r="A1547" s="25">
        <v>1536</v>
      </c>
      <c r="B1547" s="23"/>
      <c r="C1547" s="1" t="s">
        <v>1021</v>
      </c>
      <c r="D1547" s="23"/>
      <c r="E1547" s="8">
        <v>45</v>
      </c>
      <c r="F1547" s="8" t="s">
        <v>152</v>
      </c>
      <c r="G1547" s="47">
        <v>40</v>
      </c>
      <c r="H1547" s="165">
        <f t="shared" si="110"/>
        <v>1800</v>
      </c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56"/>
    </row>
    <row r="1548" spans="1:22" x14ac:dyDescent="0.25">
      <c r="A1548" s="25">
        <v>1537</v>
      </c>
      <c r="B1548" s="23"/>
      <c r="C1548" s="1" t="s">
        <v>1022</v>
      </c>
      <c r="D1548" s="23"/>
      <c r="E1548" s="8">
        <v>16</v>
      </c>
      <c r="F1548" s="8" t="s">
        <v>152</v>
      </c>
      <c r="G1548" s="47">
        <v>45</v>
      </c>
      <c r="H1548" s="165">
        <f t="shared" si="110"/>
        <v>720</v>
      </c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56"/>
    </row>
    <row r="1549" spans="1:22" x14ac:dyDescent="0.25">
      <c r="A1549" s="25">
        <v>1538</v>
      </c>
      <c r="B1549" s="23"/>
      <c r="C1549" s="1" t="s">
        <v>415</v>
      </c>
      <c r="D1549" s="23"/>
      <c r="E1549" s="8">
        <v>16</v>
      </c>
      <c r="F1549" s="8" t="s">
        <v>152</v>
      </c>
      <c r="G1549" s="47">
        <v>39</v>
      </c>
      <c r="H1549" s="165">
        <f t="shared" si="110"/>
        <v>624</v>
      </c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56"/>
    </row>
    <row r="1550" spans="1:22" x14ac:dyDescent="0.25">
      <c r="A1550" s="25">
        <v>1539</v>
      </c>
      <c r="B1550" s="23"/>
      <c r="C1550" s="1" t="s">
        <v>774</v>
      </c>
      <c r="D1550" s="23"/>
      <c r="E1550" s="8">
        <v>65</v>
      </c>
      <c r="F1550" s="8" t="s">
        <v>152</v>
      </c>
      <c r="G1550" s="47">
        <v>17</v>
      </c>
      <c r="H1550" s="165">
        <f t="shared" si="110"/>
        <v>1105</v>
      </c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56"/>
    </row>
    <row r="1551" spans="1:22" x14ac:dyDescent="0.25">
      <c r="A1551" s="25">
        <v>1540</v>
      </c>
      <c r="B1551" s="23"/>
      <c r="C1551" s="1" t="s">
        <v>922</v>
      </c>
      <c r="D1551" s="23"/>
      <c r="E1551" s="8">
        <v>65</v>
      </c>
      <c r="F1551" s="8" t="s">
        <v>152</v>
      </c>
      <c r="G1551" s="47">
        <v>16</v>
      </c>
      <c r="H1551" s="165">
        <f t="shared" si="110"/>
        <v>1040</v>
      </c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56"/>
    </row>
    <row r="1552" spans="1:22" x14ac:dyDescent="0.25">
      <c r="A1552" s="25">
        <v>1541</v>
      </c>
      <c r="B1552" s="23"/>
      <c r="C1552" s="1" t="s">
        <v>1023</v>
      </c>
      <c r="D1552" s="23"/>
      <c r="E1552" s="8">
        <v>65</v>
      </c>
      <c r="F1552" s="8" t="s">
        <v>152</v>
      </c>
      <c r="G1552" s="47">
        <v>35</v>
      </c>
      <c r="H1552" s="165">
        <f t="shared" si="110"/>
        <v>2275</v>
      </c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56"/>
    </row>
    <row r="1553" spans="1:22" x14ac:dyDescent="0.25">
      <c r="A1553" s="25">
        <v>1542</v>
      </c>
      <c r="B1553" s="23"/>
      <c r="C1553" s="1" t="s">
        <v>383</v>
      </c>
      <c r="D1553" s="23"/>
      <c r="E1553" s="8">
        <v>65</v>
      </c>
      <c r="F1553" s="8" t="s">
        <v>152</v>
      </c>
      <c r="G1553" s="47">
        <v>15</v>
      </c>
      <c r="H1553" s="165">
        <f t="shared" si="110"/>
        <v>975</v>
      </c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56"/>
    </row>
    <row r="1554" spans="1:22" x14ac:dyDescent="0.25">
      <c r="A1554" s="25">
        <v>1543</v>
      </c>
      <c r="B1554" s="23"/>
      <c r="C1554" s="1" t="s">
        <v>440</v>
      </c>
      <c r="D1554" s="23"/>
      <c r="E1554" s="8">
        <v>16</v>
      </c>
      <c r="F1554" s="8" t="s">
        <v>152</v>
      </c>
      <c r="G1554" s="47">
        <v>44.5</v>
      </c>
      <c r="H1554" s="165">
        <f t="shared" si="110"/>
        <v>712</v>
      </c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56"/>
    </row>
    <row r="1555" spans="1:22" x14ac:dyDescent="0.25">
      <c r="A1555" s="25">
        <v>1544</v>
      </c>
      <c r="B1555" s="23"/>
      <c r="C1555" s="1" t="s">
        <v>1024</v>
      </c>
      <c r="D1555" s="23"/>
      <c r="E1555" s="8">
        <v>40</v>
      </c>
      <c r="F1555" s="8" t="s">
        <v>152</v>
      </c>
      <c r="G1555" s="47">
        <v>24</v>
      </c>
      <c r="H1555" s="165">
        <f t="shared" si="110"/>
        <v>960</v>
      </c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56"/>
    </row>
    <row r="1556" spans="1:22" x14ac:dyDescent="0.25">
      <c r="A1556" s="25">
        <v>1545</v>
      </c>
      <c r="B1556" s="23"/>
      <c r="C1556" s="1" t="s">
        <v>356</v>
      </c>
      <c r="D1556" s="23"/>
      <c r="E1556" s="8">
        <v>80</v>
      </c>
      <c r="F1556" s="8" t="s">
        <v>152</v>
      </c>
      <c r="G1556" s="47">
        <v>10</v>
      </c>
      <c r="H1556" s="165">
        <f t="shared" si="110"/>
        <v>800</v>
      </c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56"/>
    </row>
    <row r="1557" spans="1:22" x14ac:dyDescent="0.25">
      <c r="A1557" s="25">
        <v>1546</v>
      </c>
      <c r="B1557" s="23"/>
      <c r="C1557" s="1" t="s">
        <v>1025</v>
      </c>
      <c r="D1557" s="23"/>
      <c r="E1557" s="8">
        <v>24</v>
      </c>
      <c r="F1557" s="8" t="s">
        <v>152</v>
      </c>
      <c r="G1557" s="47">
        <v>510</v>
      </c>
      <c r="H1557" s="165">
        <f t="shared" si="110"/>
        <v>12240</v>
      </c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56"/>
    </row>
    <row r="1558" spans="1:22" x14ac:dyDescent="0.25">
      <c r="A1558" s="25">
        <v>1547</v>
      </c>
      <c r="B1558" s="23"/>
      <c r="C1558" s="1" t="s">
        <v>1026</v>
      </c>
      <c r="D1558" s="23"/>
      <c r="E1558" s="8">
        <v>24</v>
      </c>
      <c r="F1558" s="8" t="s">
        <v>152</v>
      </c>
      <c r="G1558" s="47">
        <v>530</v>
      </c>
      <c r="H1558" s="165">
        <f t="shared" si="110"/>
        <v>12720</v>
      </c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56"/>
    </row>
    <row r="1559" spans="1:22" x14ac:dyDescent="0.25">
      <c r="A1559" s="25">
        <v>1548</v>
      </c>
      <c r="B1559" s="23"/>
      <c r="C1559" s="1" t="s">
        <v>1027</v>
      </c>
      <c r="D1559" s="23"/>
      <c r="E1559" s="8">
        <v>24</v>
      </c>
      <c r="F1559" s="8" t="s">
        <v>152</v>
      </c>
      <c r="G1559" s="47">
        <v>85</v>
      </c>
      <c r="H1559" s="165">
        <f t="shared" si="110"/>
        <v>2040</v>
      </c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56"/>
    </row>
    <row r="1560" spans="1:22" x14ac:dyDescent="0.25">
      <c r="A1560" s="25">
        <v>1549</v>
      </c>
      <c r="B1560" s="23"/>
      <c r="C1560" s="1" t="s">
        <v>1028</v>
      </c>
      <c r="D1560" s="23"/>
      <c r="E1560" s="8">
        <v>20</v>
      </c>
      <c r="F1560" s="8" t="s">
        <v>152</v>
      </c>
      <c r="G1560" s="47">
        <v>175</v>
      </c>
      <c r="H1560" s="165">
        <f t="shared" si="110"/>
        <v>3500</v>
      </c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56"/>
    </row>
    <row r="1561" spans="1:22" x14ac:dyDescent="0.25">
      <c r="A1561" s="25">
        <v>1550</v>
      </c>
      <c r="B1561" s="23"/>
      <c r="C1561" s="1" t="s">
        <v>274</v>
      </c>
      <c r="D1561" s="23"/>
      <c r="E1561" s="8">
        <v>2</v>
      </c>
      <c r="F1561" s="8" t="s">
        <v>152</v>
      </c>
      <c r="G1561" s="47">
        <v>94.5</v>
      </c>
      <c r="H1561" s="165">
        <f t="shared" si="110"/>
        <v>189</v>
      </c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56"/>
    </row>
    <row r="1562" spans="1:22" x14ac:dyDescent="0.25">
      <c r="A1562" s="25">
        <v>1551</v>
      </c>
      <c r="B1562" s="23"/>
      <c r="C1562" s="14"/>
      <c r="D1562" s="23"/>
      <c r="E1562" s="84"/>
      <c r="F1562" s="23"/>
      <c r="G1562" s="165"/>
      <c r="H1562" s="165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56"/>
    </row>
    <row r="1563" spans="1:22" ht="30" x14ac:dyDescent="0.25">
      <c r="A1563" s="25">
        <v>1552</v>
      </c>
      <c r="B1563" s="86" t="s">
        <v>117</v>
      </c>
      <c r="C1563" s="87" t="s">
        <v>118</v>
      </c>
      <c r="D1563" s="86" t="s">
        <v>26</v>
      </c>
      <c r="E1563" s="86"/>
      <c r="F1563" s="86"/>
      <c r="G1563" s="161"/>
      <c r="H1563" s="162">
        <f>H1564+H1571+H1575+H1581+H1589+H1597</f>
        <v>3565489.24</v>
      </c>
      <c r="I1563" s="86" t="s">
        <v>52</v>
      </c>
      <c r="J1563" s="88">
        <v>1</v>
      </c>
      <c r="K1563" s="86"/>
      <c r="L1563" s="86"/>
      <c r="M1563" s="88">
        <v>9</v>
      </c>
      <c r="N1563" s="86"/>
      <c r="O1563" s="86"/>
      <c r="P1563" s="88">
        <v>6</v>
      </c>
      <c r="Q1563" s="86"/>
      <c r="R1563" s="86"/>
      <c r="S1563" s="88">
        <v>3</v>
      </c>
      <c r="T1563" s="86"/>
      <c r="U1563" s="86"/>
      <c r="V1563" s="56"/>
    </row>
    <row r="1564" spans="1:22" ht="25.5" customHeight="1" x14ac:dyDescent="0.25">
      <c r="A1564" s="25">
        <v>1553</v>
      </c>
      <c r="B1564" s="89" t="s">
        <v>117</v>
      </c>
      <c r="C1564" s="90" t="s">
        <v>120</v>
      </c>
      <c r="D1564" s="89" t="s">
        <v>27</v>
      </c>
      <c r="E1564" s="89"/>
      <c r="F1564" s="89"/>
      <c r="G1564" s="163"/>
      <c r="H1564" s="167">
        <v>1500000</v>
      </c>
      <c r="I1564" s="89" t="s">
        <v>52</v>
      </c>
      <c r="J1564" s="60">
        <v>1</v>
      </c>
      <c r="K1564" s="60"/>
      <c r="L1564" s="60"/>
      <c r="M1564" s="60">
        <v>1</v>
      </c>
      <c r="N1564" s="60"/>
      <c r="O1564" s="60"/>
      <c r="P1564" s="60">
        <v>1</v>
      </c>
      <c r="Q1564" s="60"/>
      <c r="R1564" s="60"/>
      <c r="S1564" s="60">
        <v>1</v>
      </c>
      <c r="T1564" s="60"/>
      <c r="U1564" s="60"/>
      <c r="V1564" s="56"/>
    </row>
    <row r="1565" spans="1:22" ht="15" x14ac:dyDescent="0.25">
      <c r="A1565" s="25">
        <v>1554</v>
      </c>
      <c r="B1565" s="85"/>
      <c r="C1565" s="14" t="s">
        <v>1420</v>
      </c>
      <c r="D1565" s="85"/>
      <c r="E1565" s="85"/>
      <c r="F1565" s="85"/>
      <c r="G1565" s="203"/>
      <c r="H1565" s="204"/>
      <c r="I1565" s="85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56"/>
    </row>
    <row r="1566" spans="1:22" x14ac:dyDescent="0.25">
      <c r="A1566" s="25">
        <v>1555</v>
      </c>
      <c r="B1566" s="23"/>
      <c r="C1566" s="14" t="s">
        <v>1134</v>
      </c>
      <c r="D1566" s="23"/>
      <c r="E1566" s="23">
        <f>61*4</f>
        <v>244</v>
      </c>
      <c r="F1566" s="23" t="s">
        <v>567</v>
      </c>
      <c r="G1566" s="101">
        <v>1588</v>
      </c>
      <c r="H1566" s="165">
        <f>G1566*E1566</f>
        <v>387472</v>
      </c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56"/>
    </row>
    <row r="1567" spans="1:22" x14ac:dyDescent="0.25">
      <c r="A1567" s="25">
        <v>1556</v>
      </c>
      <c r="B1567" s="23"/>
      <c r="C1567" s="14" t="s">
        <v>1135</v>
      </c>
      <c r="D1567" s="23"/>
      <c r="E1567" s="23">
        <f>62*4</f>
        <v>248</v>
      </c>
      <c r="F1567" s="23" t="s">
        <v>567</v>
      </c>
      <c r="G1567" s="101">
        <v>383</v>
      </c>
      <c r="H1567" s="165">
        <f t="shared" ref="H1567:H1569" si="111">G1567*E1567</f>
        <v>94984</v>
      </c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56"/>
    </row>
    <row r="1568" spans="1:22" x14ac:dyDescent="0.25">
      <c r="A1568" s="25">
        <v>1557</v>
      </c>
      <c r="B1568" s="23"/>
      <c r="C1568" s="14" t="s">
        <v>1136</v>
      </c>
      <c r="D1568" s="23"/>
      <c r="E1568" s="23">
        <f t="shared" ref="E1568:E1569" si="112">62*4</f>
        <v>248</v>
      </c>
      <c r="F1568" s="23" t="s">
        <v>567</v>
      </c>
      <c r="G1568" s="101">
        <v>3250</v>
      </c>
      <c r="H1568" s="165">
        <f t="shared" si="111"/>
        <v>806000</v>
      </c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56"/>
    </row>
    <row r="1569" spans="1:22" x14ac:dyDescent="0.25">
      <c r="A1569" s="25">
        <v>1558</v>
      </c>
      <c r="B1569" s="23"/>
      <c r="C1569" s="14" t="s">
        <v>1137</v>
      </c>
      <c r="D1569" s="23"/>
      <c r="E1569" s="23">
        <f t="shared" si="112"/>
        <v>248</v>
      </c>
      <c r="F1569" s="23" t="s">
        <v>567</v>
      </c>
      <c r="G1569" s="101">
        <v>853</v>
      </c>
      <c r="H1569" s="165">
        <f t="shared" si="111"/>
        <v>211544</v>
      </c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56"/>
    </row>
    <row r="1570" spans="1:22" x14ac:dyDescent="0.25">
      <c r="A1570" s="25">
        <v>1559</v>
      </c>
      <c r="B1570" s="23"/>
      <c r="C1570" s="14"/>
      <c r="D1570" s="23"/>
      <c r="E1570" s="84"/>
      <c r="F1570" s="23"/>
      <c r="G1570" s="165"/>
      <c r="H1570" s="165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56"/>
    </row>
    <row r="1571" spans="1:22" ht="30" x14ac:dyDescent="0.25">
      <c r="A1571" s="25">
        <v>1560</v>
      </c>
      <c r="B1571" s="89" t="s">
        <v>117</v>
      </c>
      <c r="C1571" s="90" t="s">
        <v>44</v>
      </c>
      <c r="D1571" s="89" t="s">
        <v>27</v>
      </c>
      <c r="E1571" s="89"/>
      <c r="F1571" s="89"/>
      <c r="G1571" s="163"/>
      <c r="H1571" s="167">
        <v>184000</v>
      </c>
      <c r="I1571" s="89" t="s">
        <v>52</v>
      </c>
      <c r="J1571" s="60"/>
      <c r="K1571" s="60"/>
      <c r="L1571" s="60"/>
      <c r="M1571" s="60">
        <v>3</v>
      </c>
      <c r="N1571" s="60"/>
      <c r="O1571" s="60"/>
      <c r="P1571" s="60">
        <v>1</v>
      </c>
      <c r="Q1571" s="60"/>
      <c r="R1571" s="60"/>
      <c r="S1571" s="60">
        <v>1</v>
      </c>
      <c r="T1571" s="60"/>
      <c r="U1571" s="60"/>
      <c r="V1571" s="56"/>
    </row>
    <row r="1572" spans="1:22" x14ac:dyDescent="0.25">
      <c r="A1572" s="25">
        <v>1561</v>
      </c>
      <c r="B1572" s="23"/>
      <c r="C1572" s="14" t="s">
        <v>119</v>
      </c>
      <c r="D1572" s="23"/>
      <c r="E1572" s="84"/>
      <c r="F1572" s="23"/>
      <c r="G1572" s="165"/>
      <c r="H1572" s="165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56"/>
    </row>
    <row r="1573" spans="1:22" x14ac:dyDescent="0.25">
      <c r="A1573" s="25">
        <v>1562</v>
      </c>
      <c r="B1573" s="23"/>
      <c r="C1573" s="14" t="s">
        <v>809</v>
      </c>
      <c r="D1573" s="23"/>
      <c r="E1573" s="23">
        <v>1840</v>
      </c>
      <c r="F1573" s="7" t="s">
        <v>1435</v>
      </c>
      <c r="G1573" s="116">
        <v>100</v>
      </c>
      <c r="H1573" s="165">
        <f>E1573*G1573</f>
        <v>184000</v>
      </c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56"/>
    </row>
    <row r="1574" spans="1:22" x14ac:dyDescent="0.25">
      <c r="A1574" s="25">
        <v>1563</v>
      </c>
      <c r="B1574" s="23"/>
      <c r="C1574" s="14"/>
      <c r="D1574" s="23"/>
      <c r="E1574" s="84"/>
      <c r="F1574" s="23"/>
      <c r="G1574" s="165"/>
      <c r="H1574" s="165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56"/>
    </row>
    <row r="1575" spans="1:22" ht="45" x14ac:dyDescent="0.25">
      <c r="A1575" s="25">
        <v>1564</v>
      </c>
      <c r="B1575" s="89" t="s">
        <v>117</v>
      </c>
      <c r="C1575" s="90" t="s">
        <v>42</v>
      </c>
      <c r="D1575" s="89" t="s">
        <v>27</v>
      </c>
      <c r="E1575" s="89"/>
      <c r="F1575" s="89"/>
      <c r="G1575" s="163"/>
      <c r="H1575" s="167">
        <v>26000</v>
      </c>
      <c r="I1575" s="89" t="s">
        <v>52</v>
      </c>
      <c r="J1575" s="60"/>
      <c r="K1575" s="60"/>
      <c r="L1575" s="60"/>
      <c r="M1575" s="60">
        <v>1</v>
      </c>
      <c r="N1575" s="60"/>
      <c r="O1575" s="60"/>
      <c r="P1575" s="60"/>
      <c r="Q1575" s="60"/>
      <c r="R1575" s="60"/>
      <c r="S1575" s="60">
        <v>1</v>
      </c>
      <c r="T1575" s="60"/>
      <c r="U1575" s="60"/>
      <c r="V1575" s="56"/>
    </row>
    <row r="1576" spans="1:22" x14ac:dyDescent="0.25">
      <c r="A1576" s="25">
        <v>1565</v>
      </c>
      <c r="B1576" s="23"/>
      <c r="C1576" s="14" t="s">
        <v>809</v>
      </c>
      <c r="D1576" s="23"/>
      <c r="E1576" s="23">
        <v>200</v>
      </c>
      <c r="F1576" s="7" t="s">
        <v>1435</v>
      </c>
      <c r="G1576" s="116">
        <v>100</v>
      </c>
      <c r="H1576" s="165">
        <f>G1576*E1576</f>
        <v>20000</v>
      </c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56"/>
    </row>
    <row r="1577" spans="1:22" x14ac:dyDescent="0.25">
      <c r="A1577" s="25">
        <v>1566</v>
      </c>
      <c r="B1577" s="23"/>
      <c r="C1577" s="93" t="s">
        <v>804</v>
      </c>
      <c r="D1577" s="23"/>
      <c r="E1577" s="23">
        <v>200</v>
      </c>
      <c r="F1577" s="23" t="s">
        <v>152</v>
      </c>
      <c r="G1577" s="116">
        <v>12</v>
      </c>
      <c r="H1577" s="165">
        <f t="shared" ref="H1577:H1579" si="113">G1577*E1577</f>
        <v>2400</v>
      </c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56"/>
    </row>
    <row r="1578" spans="1:22" x14ac:dyDescent="0.25">
      <c r="A1578" s="25">
        <v>1567</v>
      </c>
      <c r="B1578" s="23"/>
      <c r="C1578" s="93" t="s">
        <v>805</v>
      </c>
      <c r="D1578" s="23"/>
      <c r="E1578" s="23">
        <v>200</v>
      </c>
      <c r="F1578" s="23" t="s">
        <v>152</v>
      </c>
      <c r="G1578" s="116">
        <v>8</v>
      </c>
      <c r="H1578" s="165">
        <f t="shared" si="113"/>
        <v>1600</v>
      </c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56"/>
    </row>
    <row r="1579" spans="1:22" x14ac:dyDescent="0.25">
      <c r="A1579" s="25">
        <v>1568</v>
      </c>
      <c r="B1579" s="23"/>
      <c r="C1579" s="93" t="s">
        <v>806</v>
      </c>
      <c r="D1579" s="23"/>
      <c r="E1579" s="23">
        <v>200</v>
      </c>
      <c r="F1579" s="23" t="s">
        <v>152</v>
      </c>
      <c r="G1579" s="116">
        <v>10</v>
      </c>
      <c r="H1579" s="165">
        <f t="shared" si="113"/>
        <v>2000</v>
      </c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56"/>
    </row>
    <row r="1580" spans="1:22" x14ac:dyDescent="0.25">
      <c r="A1580" s="25">
        <v>1569</v>
      </c>
      <c r="B1580" s="23"/>
      <c r="C1580" s="14"/>
      <c r="D1580" s="23"/>
      <c r="E1580" s="84"/>
      <c r="F1580" s="23"/>
      <c r="G1580" s="165"/>
      <c r="H1580" s="165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56"/>
    </row>
    <row r="1581" spans="1:22" ht="30" x14ac:dyDescent="0.25">
      <c r="A1581" s="25">
        <v>1570</v>
      </c>
      <c r="B1581" s="89" t="s">
        <v>117</v>
      </c>
      <c r="C1581" s="90" t="s">
        <v>72</v>
      </c>
      <c r="D1581" s="89" t="s">
        <v>27</v>
      </c>
      <c r="E1581" s="89"/>
      <c r="F1581" s="89"/>
      <c r="G1581" s="163"/>
      <c r="H1581" s="167">
        <v>502173.99</v>
      </c>
      <c r="I1581" s="89" t="s">
        <v>52</v>
      </c>
      <c r="J1581" s="60"/>
      <c r="K1581" s="60"/>
      <c r="L1581" s="60"/>
      <c r="M1581" s="60">
        <v>1</v>
      </c>
      <c r="N1581" s="60"/>
      <c r="O1581" s="60"/>
      <c r="P1581" s="60">
        <v>1</v>
      </c>
      <c r="Q1581" s="60"/>
      <c r="R1581" s="60"/>
      <c r="S1581" s="60"/>
      <c r="T1581" s="60"/>
      <c r="U1581" s="60"/>
      <c r="V1581" s="56"/>
    </row>
    <row r="1582" spans="1:22" x14ac:dyDescent="0.25">
      <c r="A1582" s="25">
        <v>1571</v>
      </c>
      <c r="B1582" s="23"/>
      <c r="C1582" s="14" t="s">
        <v>119</v>
      </c>
      <c r="D1582" s="23"/>
      <c r="E1582" s="84"/>
      <c r="F1582" s="23"/>
      <c r="G1582" s="165"/>
      <c r="H1582" s="165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56"/>
    </row>
    <row r="1583" spans="1:22" x14ac:dyDescent="0.25">
      <c r="A1583" s="25">
        <v>1572</v>
      </c>
      <c r="B1583" s="23"/>
      <c r="C1583" s="6" t="s">
        <v>1177</v>
      </c>
      <c r="D1583" s="1"/>
      <c r="E1583" s="7">
        <v>1456</v>
      </c>
      <c r="F1583" s="7" t="s">
        <v>1435</v>
      </c>
      <c r="G1583" s="187">
        <v>139.51510300000001</v>
      </c>
      <c r="H1583" s="165">
        <f>G1583*E1583</f>
        <v>203133.98996800001</v>
      </c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56"/>
    </row>
    <row r="1584" spans="1:22" x14ac:dyDescent="0.25">
      <c r="A1584" s="25">
        <v>1573</v>
      </c>
      <c r="B1584" s="23"/>
      <c r="C1584" s="14"/>
      <c r="D1584" s="1"/>
      <c r="E1584" s="1"/>
      <c r="F1584" s="1"/>
      <c r="G1584" s="188"/>
      <c r="H1584" s="165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56"/>
    </row>
    <row r="1585" spans="1:22" x14ac:dyDescent="0.25">
      <c r="A1585" s="25">
        <v>1574</v>
      </c>
      <c r="B1585" s="23"/>
      <c r="C1585" s="6" t="s">
        <v>1134</v>
      </c>
      <c r="D1585" s="1"/>
      <c r="E1585" s="7">
        <v>1120</v>
      </c>
      <c r="F1585" s="23" t="s">
        <v>309</v>
      </c>
      <c r="G1585" s="187">
        <v>135</v>
      </c>
      <c r="H1585" s="165">
        <f t="shared" ref="H1585:H1587" si="114">G1585*E1585</f>
        <v>151200</v>
      </c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56"/>
    </row>
    <row r="1586" spans="1:22" x14ac:dyDescent="0.25">
      <c r="A1586" s="25">
        <v>1575</v>
      </c>
      <c r="B1586" s="23"/>
      <c r="C1586" s="6" t="s">
        <v>805</v>
      </c>
      <c r="D1586" s="1"/>
      <c r="E1586" s="7">
        <v>1120</v>
      </c>
      <c r="F1586" s="23" t="s">
        <v>309</v>
      </c>
      <c r="G1586" s="187">
        <v>68</v>
      </c>
      <c r="H1586" s="165">
        <f t="shared" si="114"/>
        <v>76160</v>
      </c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56"/>
    </row>
    <row r="1587" spans="1:22" x14ac:dyDescent="0.25">
      <c r="A1587" s="25">
        <v>1576</v>
      </c>
      <c r="B1587" s="23"/>
      <c r="C1587" s="6" t="s">
        <v>1324</v>
      </c>
      <c r="D1587" s="1"/>
      <c r="E1587" s="7">
        <v>1120</v>
      </c>
      <c r="F1587" s="23" t="s">
        <v>309</v>
      </c>
      <c r="G1587" s="187">
        <v>64</v>
      </c>
      <c r="H1587" s="165">
        <f t="shared" si="114"/>
        <v>71680</v>
      </c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56"/>
    </row>
    <row r="1588" spans="1:22" x14ac:dyDescent="0.25">
      <c r="A1588" s="25">
        <v>1577</v>
      </c>
      <c r="B1588" s="23"/>
      <c r="C1588" s="14"/>
      <c r="D1588" s="23"/>
      <c r="E1588" s="84"/>
      <c r="F1588" s="23"/>
      <c r="G1588" s="165"/>
      <c r="H1588" s="165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56"/>
    </row>
    <row r="1589" spans="1:22" ht="30" x14ac:dyDescent="0.25">
      <c r="A1589" s="25">
        <v>1578</v>
      </c>
      <c r="B1589" s="89" t="s">
        <v>117</v>
      </c>
      <c r="C1589" s="90" t="s">
        <v>36</v>
      </c>
      <c r="D1589" s="89" t="s">
        <v>27</v>
      </c>
      <c r="E1589" s="89"/>
      <c r="F1589" s="89"/>
      <c r="G1589" s="163"/>
      <c r="H1589" s="167">
        <v>61700.5</v>
      </c>
      <c r="I1589" s="89" t="s">
        <v>52</v>
      </c>
      <c r="J1589" s="60"/>
      <c r="K1589" s="60"/>
      <c r="L1589" s="60"/>
      <c r="M1589" s="60">
        <v>1</v>
      </c>
      <c r="N1589" s="60"/>
      <c r="O1589" s="60"/>
      <c r="P1589" s="60">
        <v>1</v>
      </c>
      <c r="Q1589" s="60"/>
      <c r="R1589" s="60"/>
      <c r="S1589" s="60"/>
      <c r="T1589" s="60"/>
      <c r="U1589" s="60"/>
      <c r="V1589" s="56"/>
    </row>
    <row r="1590" spans="1:22" ht="28.5" customHeight="1" x14ac:dyDescent="0.25">
      <c r="A1590" s="25">
        <v>1579</v>
      </c>
      <c r="B1590" s="23"/>
      <c r="C1590" s="14" t="s">
        <v>808</v>
      </c>
      <c r="D1590" s="23"/>
      <c r="E1590" s="84"/>
      <c r="F1590" s="23"/>
      <c r="G1590" s="165"/>
      <c r="H1590" s="165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56"/>
    </row>
    <row r="1591" spans="1:22" x14ac:dyDescent="0.25">
      <c r="A1591" s="25">
        <v>1580</v>
      </c>
      <c r="B1591" s="23"/>
      <c r="C1591" s="93" t="s">
        <v>804</v>
      </c>
      <c r="D1591" s="23"/>
      <c r="E1591" s="23">
        <f>5*202</f>
        <v>1010</v>
      </c>
      <c r="F1591" s="23" t="s">
        <v>152</v>
      </c>
      <c r="G1591" s="116">
        <v>12.25</v>
      </c>
      <c r="H1591" s="165">
        <f>G1591*E1591</f>
        <v>12372.5</v>
      </c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56"/>
    </row>
    <row r="1592" spans="1:22" x14ac:dyDescent="0.25">
      <c r="A1592" s="25">
        <v>1581</v>
      </c>
      <c r="B1592" s="23"/>
      <c r="C1592" s="93" t="s">
        <v>805</v>
      </c>
      <c r="D1592" s="23"/>
      <c r="E1592" s="23">
        <f t="shared" ref="E1592:E1593" si="115">5*202</f>
        <v>1010</v>
      </c>
      <c r="F1592" s="23" t="s">
        <v>152</v>
      </c>
      <c r="G1592" s="116">
        <v>8</v>
      </c>
      <c r="H1592" s="165">
        <f t="shared" ref="H1592:H1594" si="116">G1592*E1592</f>
        <v>8080</v>
      </c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56"/>
    </row>
    <row r="1593" spans="1:22" x14ac:dyDescent="0.25">
      <c r="A1593" s="25">
        <v>1582</v>
      </c>
      <c r="B1593" s="23"/>
      <c r="C1593" s="93" t="s">
        <v>806</v>
      </c>
      <c r="D1593" s="23"/>
      <c r="E1593" s="23">
        <f t="shared" si="115"/>
        <v>1010</v>
      </c>
      <c r="F1593" s="23" t="s">
        <v>152</v>
      </c>
      <c r="G1593" s="116">
        <v>10</v>
      </c>
      <c r="H1593" s="165">
        <f t="shared" si="116"/>
        <v>10100</v>
      </c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56"/>
    </row>
    <row r="1594" spans="1:22" x14ac:dyDescent="0.25">
      <c r="A1594" s="25">
        <v>1583</v>
      </c>
      <c r="B1594" s="23"/>
      <c r="C1594" s="93" t="s">
        <v>807</v>
      </c>
      <c r="D1594" s="23"/>
      <c r="E1594" s="23">
        <f>2*202</f>
        <v>404</v>
      </c>
      <c r="F1594" s="23" t="s">
        <v>152</v>
      </c>
      <c r="G1594" s="116">
        <v>12</v>
      </c>
      <c r="H1594" s="165">
        <f t="shared" si="116"/>
        <v>4848</v>
      </c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56"/>
    </row>
    <row r="1595" spans="1:22" x14ac:dyDescent="0.25">
      <c r="A1595" s="25">
        <v>1584</v>
      </c>
      <c r="B1595" s="23"/>
      <c r="C1595" s="14" t="s">
        <v>809</v>
      </c>
      <c r="D1595" s="23"/>
      <c r="E1595" s="23">
        <v>263</v>
      </c>
      <c r="F1595" s="7" t="s">
        <v>1435</v>
      </c>
      <c r="G1595" s="116">
        <v>100</v>
      </c>
      <c r="H1595" s="165">
        <f>G1595*E1595</f>
        <v>26300</v>
      </c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56"/>
    </row>
    <row r="1596" spans="1:22" x14ac:dyDescent="0.25">
      <c r="A1596" s="25">
        <v>1585</v>
      </c>
      <c r="B1596" s="23"/>
      <c r="C1596" s="14"/>
      <c r="D1596" s="23"/>
      <c r="E1596" s="84"/>
      <c r="F1596" s="23"/>
      <c r="G1596" s="165"/>
      <c r="H1596" s="165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56"/>
    </row>
    <row r="1597" spans="1:22" ht="30" x14ac:dyDescent="0.25">
      <c r="A1597" s="25">
        <v>1586</v>
      </c>
      <c r="B1597" s="89" t="s">
        <v>117</v>
      </c>
      <c r="C1597" s="90" t="s">
        <v>35</v>
      </c>
      <c r="D1597" s="89" t="s">
        <v>27</v>
      </c>
      <c r="E1597" s="89"/>
      <c r="F1597" s="89"/>
      <c r="G1597" s="163"/>
      <c r="H1597" s="167">
        <v>1291614.75</v>
      </c>
      <c r="I1597" s="89" t="s">
        <v>52</v>
      </c>
      <c r="J1597" s="60"/>
      <c r="K1597" s="60"/>
      <c r="L1597" s="60"/>
      <c r="M1597" s="60">
        <v>2</v>
      </c>
      <c r="N1597" s="60"/>
      <c r="O1597" s="60"/>
      <c r="P1597" s="60">
        <v>2</v>
      </c>
      <c r="Q1597" s="60"/>
      <c r="R1597" s="60"/>
      <c r="S1597" s="60"/>
      <c r="T1597" s="60"/>
      <c r="U1597" s="60"/>
      <c r="V1597" s="56"/>
    </row>
    <row r="1598" spans="1:22" x14ac:dyDescent="0.25">
      <c r="A1598" s="25">
        <v>1587</v>
      </c>
      <c r="B1598" s="23"/>
      <c r="C1598" s="14" t="s">
        <v>119</v>
      </c>
      <c r="D1598" s="23"/>
      <c r="E1598" s="84"/>
      <c r="F1598" s="23"/>
      <c r="G1598" s="165"/>
      <c r="H1598" s="165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56"/>
    </row>
    <row r="1599" spans="1:22" x14ac:dyDescent="0.25">
      <c r="A1599" s="25">
        <v>1588</v>
      </c>
      <c r="B1599" s="23"/>
      <c r="C1599" s="14" t="s">
        <v>809</v>
      </c>
      <c r="D1599" s="23"/>
      <c r="E1599" s="23">
        <v>5277</v>
      </c>
      <c r="F1599" s="7" t="s">
        <v>1435</v>
      </c>
      <c r="G1599" s="116">
        <v>100</v>
      </c>
      <c r="H1599" s="165">
        <f>G1599*E1599</f>
        <v>527700</v>
      </c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56"/>
    </row>
    <row r="1600" spans="1:22" x14ac:dyDescent="0.25">
      <c r="A1600" s="25">
        <v>1589</v>
      </c>
      <c r="B1600" s="23"/>
      <c r="C1600" s="93" t="s">
        <v>804</v>
      </c>
      <c r="D1600" s="23"/>
      <c r="E1600" s="23">
        <f>5*4359</f>
        <v>21795</v>
      </c>
      <c r="F1600" s="23" t="s">
        <v>152</v>
      </c>
      <c r="G1600" s="116">
        <v>12.25</v>
      </c>
      <c r="H1600" s="165">
        <f t="shared" ref="H1600:H1603" si="117">G1600*E1600</f>
        <v>266988.75</v>
      </c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56"/>
    </row>
    <row r="1601" spans="1:22" x14ac:dyDescent="0.25">
      <c r="A1601" s="25">
        <v>1590</v>
      </c>
      <c r="B1601" s="23"/>
      <c r="C1601" s="93" t="s">
        <v>805</v>
      </c>
      <c r="D1601" s="23"/>
      <c r="E1601" s="23">
        <f>5*4359</f>
        <v>21795</v>
      </c>
      <c r="F1601" s="23" t="s">
        <v>152</v>
      </c>
      <c r="G1601" s="116">
        <v>8</v>
      </c>
      <c r="H1601" s="165">
        <f t="shared" si="117"/>
        <v>174360</v>
      </c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56"/>
    </row>
    <row r="1602" spans="1:22" x14ac:dyDescent="0.25">
      <c r="A1602" s="25">
        <v>1591</v>
      </c>
      <c r="B1602" s="23"/>
      <c r="C1602" s="93" t="s">
        <v>806</v>
      </c>
      <c r="D1602" s="23"/>
      <c r="E1602" s="23">
        <f>5*4359</f>
        <v>21795</v>
      </c>
      <c r="F1602" s="23" t="s">
        <v>152</v>
      </c>
      <c r="G1602" s="116">
        <v>10</v>
      </c>
      <c r="H1602" s="165">
        <f t="shared" si="117"/>
        <v>217950</v>
      </c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56"/>
    </row>
    <row r="1603" spans="1:22" x14ac:dyDescent="0.25">
      <c r="A1603" s="25">
        <v>1592</v>
      </c>
      <c r="B1603" s="23"/>
      <c r="C1603" s="93" t="s">
        <v>807</v>
      </c>
      <c r="D1603" s="23"/>
      <c r="E1603" s="23">
        <f>2*4359</f>
        <v>8718</v>
      </c>
      <c r="F1603" s="23" t="s">
        <v>152</v>
      </c>
      <c r="G1603" s="116">
        <v>12</v>
      </c>
      <c r="H1603" s="165">
        <f t="shared" si="117"/>
        <v>104616</v>
      </c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56"/>
    </row>
    <row r="1604" spans="1:22" x14ac:dyDescent="0.25">
      <c r="A1604" s="25">
        <v>1593</v>
      </c>
      <c r="B1604" s="23"/>
      <c r="C1604" s="14"/>
      <c r="D1604" s="23"/>
      <c r="E1604" s="84"/>
      <c r="F1604" s="23"/>
      <c r="G1604" s="165"/>
      <c r="H1604" s="165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56"/>
    </row>
    <row r="1605" spans="1:22" ht="45" x14ac:dyDescent="0.25">
      <c r="A1605" s="25">
        <v>1594</v>
      </c>
      <c r="B1605" s="86" t="s">
        <v>121</v>
      </c>
      <c r="C1605" s="87" t="s">
        <v>122</v>
      </c>
      <c r="D1605" s="86" t="s">
        <v>26</v>
      </c>
      <c r="E1605" s="86"/>
      <c r="F1605" s="86"/>
      <c r="G1605" s="161"/>
      <c r="H1605" s="162">
        <v>72000000</v>
      </c>
      <c r="I1605" s="86" t="s">
        <v>123</v>
      </c>
      <c r="J1605" s="86"/>
      <c r="K1605" s="86"/>
      <c r="L1605" s="86">
        <v>6000</v>
      </c>
      <c r="M1605" s="88"/>
      <c r="N1605" s="86"/>
      <c r="O1605" s="86"/>
      <c r="P1605" s="88"/>
      <c r="Q1605" s="86"/>
      <c r="R1605" s="86"/>
      <c r="S1605" s="88"/>
      <c r="T1605" s="86"/>
      <c r="U1605" s="86"/>
      <c r="V1605" s="56"/>
    </row>
    <row r="1606" spans="1:22" ht="45" x14ac:dyDescent="0.25">
      <c r="A1606" s="25">
        <v>1595</v>
      </c>
      <c r="B1606" s="89" t="s">
        <v>121</v>
      </c>
      <c r="C1606" s="90" t="s">
        <v>124</v>
      </c>
      <c r="D1606" s="89" t="s">
        <v>27</v>
      </c>
      <c r="E1606" s="89"/>
      <c r="F1606" s="89"/>
      <c r="G1606" s="163"/>
      <c r="H1606" s="167">
        <v>72000000</v>
      </c>
      <c r="I1606" s="89" t="s">
        <v>123</v>
      </c>
      <c r="J1606" s="60"/>
      <c r="K1606" s="60"/>
      <c r="L1606" s="60">
        <v>6000</v>
      </c>
      <c r="M1606" s="60"/>
      <c r="N1606" s="60"/>
      <c r="O1606" s="60"/>
      <c r="P1606" s="60"/>
      <c r="Q1606" s="60"/>
      <c r="R1606" s="60"/>
      <c r="S1606" s="60"/>
      <c r="T1606" s="60"/>
      <c r="U1606" s="60"/>
      <c r="V1606" s="56"/>
    </row>
    <row r="1607" spans="1:22" x14ac:dyDescent="0.25">
      <c r="A1607" s="25">
        <v>1596</v>
      </c>
      <c r="B1607" s="23"/>
      <c r="C1607" s="14" t="s">
        <v>125</v>
      </c>
      <c r="D1607" s="23"/>
      <c r="E1607" s="84">
        <v>6000</v>
      </c>
      <c r="F1607" s="23" t="s">
        <v>1138</v>
      </c>
      <c r="G1607" s="165">
        <v>12000</v>
      </c>
      <c r="H1607" s="165">
        <v>72000000</v>
      </c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56"/>
    </row>
    <row r="1608" spans="1:22" x14ac:dyDescent="0.25">
      <c r="A1608" s="25">
        <v>1597</v>
      </c>
      <c r="B1608" s="23"/>
      <c r="C1608" s="14"/>
      <c r="D1608" s="23"/>
      <c r="E1608" s="84"/>
      <c r="F1608" s="23"/>
      <c r="G1608" s="165"/>
      <c r="H1608" s="165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56"/>
    </row>
    <row r="1609" spans="1:22" ht="30" x14ac:dyDescent="0.25">
      <c r="A1609" s="25">
        <v>1598</v>
      </c>
      <c r="B1609" s="86" t="s">
        <v>121</v>
      </c>
      <c r="C1609" s="87" t="s">
        <v>122</v>
      </c>
      <c r="D1609" s="86" t="s">
        <v>26</v>
      </c>
      <c r="E1609" s="86"/>
      <c r="F1609" s="86"/>
      <c r="G1609" s="161"/>
      <c r="H1609" s="162">
        <f>H1610+H1656+H1659+H1664+H1698+H1745+H1748+H1779+H1813+H1831+H1852</f>
        <v>50164821.030000001</v>
      </c>
      <c r="I1609" s="86" t="s">
        <v>52</v>
      </c>
      <c r="J1609" s="88">
        <v>5</v>
      </c>
      <c r="K1609" s="88">
        <v>4</v>
      </c>
      <c r="L1609" s="88">
        <v>4</v>
      </c>
      <c r="M1609" s="88">
        <v>14</v>
      </c>
      <c r="N1609" s="88">
        <v>8</v>
      </c>
      <c r="O1609" s="88">
        <v>6</v>
      </c>
      <c r="P1609" s="88">
        <v>11</v>
      </c>
      <c r="Q1609" s="88">
        <v>7</v>
      </c>
      <c r="R1609" s="88">
        <v>7</v>
      </c>
      <c r="S1609" s="88">
        <v>8</v>
      </c>
      <c r="T1609" s="88">
        <v>4</v>
      </c>
      <c r="U1609" s="88">
        <v>4</v>
      </c>
      <c r="V1609" s="56"/>
    </row>
    <row r="1610" spans="1:22" ht="30" x14ac:dyDescent="0.25">
      <c r="A1610" s="25">
        <v>1599</v>
      </c>
      <c r="B1610" s="89" t="s">
        <v>121</v>
      </c>
      <c r="C1610" s="90" t="s">
        <v>72</v>
      </c>
      <c r="D1610" s="89" t="s">
        <v>27</v>
      </c>
      <c r="E1610" s="89"/>
      <c r="F1610" s="89"/>
      <c r="G1610" s="163"/>
      <c r="H1610" s="167">
        <v>2261755.08</v>
      </c>
      <c r="I1610" s="89" t="s">
        <v>52</v>
      </c>
      <c r="J1610" s="60"/>
      <c r="K1610" s="60"/>
      <c r="L1610" s="60"/>
      <c r="M1610" s="60">
        <v>2</v>
      </c>
      <c r="N1610" s="60"/>
      <c r="O1610" s="60"/>
      <c r="P1610" s="60">
        <v>2</v>
      </c>
      <c r="Q1610" s="60"/>
      <c r="R1610" s="60"/>
      <c r="S1610" s="60"/>
      <c r="T1610" s="60"/>
      <c r="U1610" s="60"/>
      <c r="V1610" s="56"/>
    </row>
    <row r="1611" spans="1:22" x14ac:dyDescent="0.25">
      <c r="A1611" s="25">
        <v>1600</v>
      </c>
      <c r="B1611" s="23"/>
      <c r="C1611" s="14" t="s">
        <v>131</v>
      </c>
      <c r="D1611" s="23"/>
      <c r="E1611" s="84"/>
      <c r="F1611" s="23"/>
      <c r="G1611" s="165"/>
      <c r="H1611" s="165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56"/>
    </row>
    <row r="1612" spans="1:22" x14ac:dyDescent="0.25">
      <c r="A1612" s="25">
        <v>1601</v>
      </c>
      <c r="B1612" s="23"/>
      <c r="C1612" s="6" t="s">
        <v>1325</v>
      </c>
      <c r="D1612" s="1"/>
      <c r="E1612" s="7">
        <v>1850</v>
      </c>
      <c r="F1612" s="7" t="s">
        <v>37</v>
      </c>
      <c r="G1612" s="187">
        <v>56</v>
      </c>
      <c r="H1612" s="165">
        <f>G1612*E1612</f>
        <v>103600</v>
      </c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56"/>
    </row>
    <row r="1613" spans="1:22" x14ac:dyDescent="0.25">
      <c r="A1613" s="25">
        <v>1602</v>
      </c>
      <c r="B1613" s="23"/>
      <c r="C1613" s="6" t="s">
        <v>1326</v>
      </c>
      <c r="D1613" s="1"/>
      <c r="E1613" s="7">
        <v>1850</v>
      </c>
      <c r="F1613" s="7" t="s">
        <v>37</v>
      </c>
      <c r="G1613" s="187">
        <v>9.25</v>
      </c>
      <c r="H1613" s="165">
        <f t="shared" ref="H1613:H1654" si="118">G1613*E1613</f>
        <v>17112.5</v>
      </c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56"/>
    </row>
    <row r="1614" spans="1:22" x14ac:dyDescent="0.25">
      <c r="A1614" s="25">
        <v>1603</v>
      </c>
      <c r="B1614" s="23"/>
      <c r="C1614" s="6" t="s">
        <v>1327</v>
      </c>
      <c r="D1614" s="1"/>
      <c r="E1614" s="7">
        <v>1850</v>
      </c>
      <c r="F1614" s="7" t="s">
        <v>37</v>
      </c>
      <c r="G1614" s="187">
        <v>25.5</v>
      </c>
      <c r="H1614" s="165">
        <f t="shared" si="118"/>
        <v>47175</v>
      </c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56"/>
    </row>
    <row r="1615" spans="1:22" x14ac:dyDescent="0.25">
      <c r="A1615" s="25">
        <v>1604</v>
      </c>
      <c r="B1615" s="23"/>
      <c r="C1615" s="6" t="s">
        <v>1328</v>
      </c>
      <c r="D1615" s="1"/>
      <c r="E1615" s="7">
        <v>1850</v>
      </c>
      <c r="F1615" s="7" t="s">
        <v>37</v>
      </c>
      <c r="G1615" s="187">
        <v>6.83</v>
      </c>
      <c r="H1615" s="165">
        <f t="shared" si="118"/>
        <v>12635.5</v>
      </c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56"/>
    </row>
    <row r="1616" spans="1:22" x14ac:dyDescent="0.25">
      <c r="A1616" s="25">
        <v>1605</v>
      </c>
      <c r="B1616" s="23"/>
      <c r="C1616" s="6" t="s">
        <v>1329</v>
      </c>
      <c r="D1616" s="1"/>
      <c r="E1616" s="7">
        <v>1850</v>
      </c>
      <c r="F1616" s="7" t="s">
        <v>37</v>
      </c>
      <c r="G1616" s="187">
        <v>4.68</v>
      </c>
      <c r="H1616" s="165">
        <f t="shared" si="118"/>
        <v>8658</v>
      </c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56"/>
    </row>
    <row r="1617" spans="1:22" ht="28.5" customHeight="1" x14ac:dyDescent="0.25">
      <c r="A1617" s="25">
        <v>1606</v>
      </c>
      <c r="B1617" s="23"/>
      <c r="C1617" s="6" t="s">
        <v>1343</v>
      </c>
      <c r="D1617" s="1"/>
      <c r="E1617" s="7">
        <v>1850</v>
      </c>
      <c r="F1617" s="7" t="s">
        <v>37</v>
      </c>
      <c r="G1617" s="187">
        <v>14.66</v>
      </c>
      <c r="H1617" s="165">
        <f t="shared" si="118"/>
        <v>27121</v>
      </c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56"/>
    </row>
    <row r="1618" spans="1:22" x14ac:dyDescent="0.25">
      <c r="A1618" s="25">
        <v>1607</v>
      </c>
      <c r="B1618" s="23"/>
      <c r="C1618" s="6" t="s">
        <v>1344</v>
      </c>
      <c r="D1618" s="1"/>
      <c r="E1618" s="7">
        <v>1850</v>
      </c>
      <c r="F1618" s="7" t="s">
        <v>37</v>
      </c>
      <c r="G1618" s="187">
        <v>22.4</v>
      </c>
      <c r="H1618" s="165">
        <f t="shared" si="118"/>
        <v>41440</v>
      </c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56"/>
    </row>
    <row r="1619" spans="1:22" x14ac:dyDescent="0.25">
      <c r="A1619" s="25">
        <v>1608</v>
      </c>
      <c r="B1619" s="23"/>
      <c r="C1619" s="6" t="s">
        <v>1345</v>
      </c>
      <c r="D1619" s="1"/>
      <c r="E1619" s="7">
        <v>1850</v>
      </c>
      <c r="F1619" s="7" t="s">
        <v>37</v>
      </c>
      <c r="G1619" s="187">
        <v>108.75</v>
      </c>
      <c r="H1619" s="165">
        <f t="shared" si="118"/>
        <v>201187.5</v>
      </c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56"/>
    </row>
    <row r="1620" spans="1:22" x14ac:dyDescent="0.25">
      <c r="A1620" s="25">
        <v>1609</v>
      </c>
      <c r="B1620" s="23"/>
      <c r="C1620" s="6" t="s">
        <v>1342</v>
      </c>
      <c r="D1620" s="1"/>
      <c r="E1620" s="7">
        <v>1850</v>
      </c>
      <c r="F1620" s="7" t="s">
        <v>37</v>
      </c>
      <c r="G1620" s="187">
        <v>6.78</v>
      </c>
      <c r="H1620" s="165">
        <f t="shared" si="118"/>
        <v>12543</v>
      </c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56"/>
    </row>
    <row r="1621" spans="1:22" x14ac:dyDescent="0.25">
      <c r="A1621" s="25">
        <v>1610</v>
      </c>
      <c r="B1621" s="23"/>
      <c r="C1621" s="6" t="s">
        <v>1341</v>
      </c>
      <c r="D1621" s="1"/>
      <c r="E1621" s="7">
        <v>1850</v>
      </c>
      <c r="F1621" s="7" t="s">
        <v>37</v>
      </c>
      <c r="G1621" s="187">
        <v>5.63</v>
      </c>
      <c r="H1621" s="165">
        <f t="shared" si="118"/>
        <v>10415.5</v>
      </c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56"/>
    </row>
    <row r="1622" spans="1:22" x14ac:dyDescent="0.25">
      <c r="A1622" s="25">
        <v>1611</v>
      </c>
      <c r="B1622" s="23"/>
      <c r="C1622" s="6" t="s">
        <v>1340</v>
      </c>
      <c r="D1622" s="1"/>
      <c r="E1622" s="7">
        <v>1850</v>
      </c>
      <c r="F1622" s="7" t="s">
        <v>37</v>
      </c>
      <c r="G1622" s="187">
        <v>9.9</v>
      </c>
      <c r="H1622" s="165">
        <f t="shared" si="118"/>
        <v>18315</v>
      </c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56"/>
    </row>
    <row r="1623" spans="1:22" x14ac:dyDescent="0.25">
      <c r="A1623" s="25">
        <v>1612</v>
      </c>
      <c r="B1623" s="23"/>
      <c r="C1623" s="6" t="s">
        <v>1339</v>
      </c>
      <c r="D1623" s="1"/>
      <c r="E1623" s="7">
        <v>1850</v>
      </c>
      <c r="F1623" s="7" t="s">
        <v>37</v>
      </c>
      <c r="G1623" s="187">
        <v>13.2</v>
      </c>
      <c r="H1623" s="165">
        <f t="shared" si="118"/>
        <v>24420</v>
      </c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56"/>
    </row>
    <row r="1624" spans="1:22" x14ac:dyDescent="0.25">
      <c r="A1624" s="25">
        <v>1613</v>
      </c>
      <c r="B1624" s="23"/>
      <c r="C1624" s="6" t="s">
        <v>1338</v>
      </c>
      <c r="D1624" s="1"/>
      <c r="E1624" s="7">
        <v>1850</v>
      </c>
      <c r="F1624" s="7" t="s">
        <v>37</v>
      </c>
      <c r="G1624" s="187">
        <v>9.9</v>
      </c>
      <c r="H1624" s="165">
        <f t="shared" si="118"/>
        <v>18315</v>
      </c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56"/>
    </row>
    <row r="1625" spans="1:22" ht="28.5" x14ac:dyDescent="0.25">
      <c r="A1625" s="25">
        <v>1614</v>
      </c>
      <c r="B1625" s="23"/>
      <c r="C1625" s="6" t="s">
        <v>1337</v>
      </c>
      <c r="D1625" s="1"/>
      <c r="E1625" s="7">
        <v>1700</v>
      </c>
      <c r="F1625" s="7" t="s">
        <v>37</v>
      </c>
      <c r="G1625" s="187">
        <v>30</v>
      </c>
      <c r="H1625" s="165">
        <f t="shared" si="118"/>
        <v>51000</v>
      </c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56"/>
    </row>
    <row r="1626" spans="1:22" x14ac:dyDescent="0.25">
      <c r="A1626" s="25">
        <v>1615</v>
      </c>
      <c r="B1626" s="23"/>
      <c r="C1626" s="6" t="s">
        <v>1336</v>
      </c>
      <c r="D1626" s="1"/>
      <c r="E1626" s="7">
        <v>1850</v>
      </c>
      <c r="F1626" s="7" t="s">
        <v>37</v>
      </c>
      <c r="G1626" s="187">
        <v>18</v>
      </c>
      <c r="H1626" s="165">
        <f t="shared" si="118"/>
        <v>33300</v>
      </c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56"/>
    </row>
    <row r="1627" spans="1:22" x14ac:dyDescent="0.25">
      <c r="A1627" s="25">
        <v>1616</v>
      </c>
      <c r="B1627" s="23"/>
      <c r="C1627" s="6" t="s">
        <v>1335</v>
      </c>
      <c r="D1627" s="1"/>
      <c r="E1627" s="7">
        <v>1850</v>
      </c>
      <c r="F1627" s="7" t="s">
        <v>37</v>
      </c>
      <c r="G1627" s="187">
        <v>25</v>
      </c>
      <c r="H1627" s="165">
        <f t="shared" si="118"/>
        <v>46250</v>
      </c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56"/>
    </row>
    <row r="1628" spans="1:22" x14ac:dyDescent="0.25">
      <c r="A1628" s="25">
        <v>1617</v>
      </c>
      <c r="B1628" s="23"/>
      <c r="C1628" s="6" t="s">
        <v>1334</v>
      </c>
      <c r="D1628" s="1"/>
      <c r="E1628" s="7">
        <v>1850</v>
      </c>
      <c r="F1628" s="7" t="s">
        <v>37</v>
      </c>
      <c r="G1628" s="187">
        <v>3.5</v>
      </c>
      <c r="H1628" s="165">
        <f t="shared" si="118"/>
        <v>6475</v>
      </c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56"/>
    </row>
    <row r="1629" spans="1:22" x14ac:dyDescent="0.25">
      <c r="A1629" s="25">
        <v>1618</v>
      </c>
      <c r="B1629" s="23"/>
      <c r="C1629" s="6" t="s">
        <v>1333</v>
      </c>
      <c r="D1629" s="1"/>
      <c r="E1629" s="7">
        <v>1850</v>
      </c>
      <c r="F1629" s="7" t="s">
        <v>37</v>
      </c>
      <c r="G1629" s="187">
        <v>35</v>
      </c>
      <c r="H1629" s="165">
        <f t="shared" si="118"/>
        <v>64750</v>
      </c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56"/>
    </row>
    <row r="1630" spans="1:22" x14ac:dyDescent="0.25">
      <c r="A1630" s="25">
        <v>1619</v>
      </c>
      <c r="B1630" s="23"/>
      <c r="C1630" s="6" t="s">
        <v>1332</v>
      </c>
      <c r="D1630" s="1"/>
      <c r="E1630" s="7">
        <v>1850</v>
      </c>
      <c r="F1630" s="7" t="s">
        <v>37</v>
      </c>
      <c r="G1630" s="187">
        <v>40.68</v>
      </c>
      <c r="H1630" s="165">
        <f t="shared" si="118"/>
        <v>75258</v>
      </c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56"/>
    </row>
    <row r="1631" spans="1:22" x14ac:dyDescent="0.25">
      <c r="A1631" s="25">
        <v>1620</v>
      </c>
      <c r="B1631" s="23"/>
      <c r="C1631" s="6" t="s">
        <v>1331</v>
      </c>
      <c r="D1631" s="1"/>
      <c r="E1631" s="7">
        <v>1850</v>
      </c>
      <c r="F1631" s="7" t="s">
        <v>37</v>
      </c>
      <c r="G1631" s="187">
        <v>400</v>
      </c>
      <c r="H1631" s="165">
        <f t="shared" si="118"/>
        <v>740000</v>
      </c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56"/>
    </row>
    <row r="1632" spans="1:22" x14ac:dyDescent="0.25">
      <c r="A1632" s="25">
        <v>1621</v>
      </c>
      <c r="B1632" s="23"/>
      <c r="C1632" s="6" t="s">
        <v>1330</v>
      </c>
      <c r="D1632" s="1"/>
      <c r="E1632" s="7">
        <v>1850</v>
      </c>
      <c r="F1632" s="7" t="s">
        <v>37</v>
      </c>
      <c r="G1632" s="187">
        <v>93.65</v>
      </c>
      <c r="H1632" s="165">
        <f t="shared" si="118"/>
        <v>173252.5</v>
      </c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56"/>
    </row>
    <row r="1633" spans="1:22" x14ac:dyDescent="0.25">
      <c r="A1633" s="25">
        <v>1622</v>
      </c>
      <c r="B1633" s="23"/>
      <c r="C1633" s="6" t="s">
        <v>1352</v>
      </c>
      <c r="D1633" s="1"/>
      <c r="E1633" s="7">
        <v>1700</v>
      </c>
      <c r="F1633" s="7" t="s">
        <v>37</v>
      </c>
      <c r="G1633" s="18">
        <v>0.6</v>
      </c>
      <c r="H1633" s="165">
        <f t="shared" si="118"/>
        <v>1020</v>
      </c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56"/>
    </row>
    <row r="1634" spans="1:22" x14ac:dyDescent="0.25">
      <c r="A1634" s="25">
        <v>1623</v>
      </c>
      <c r="B1634" s="23"/>
      <c r="C1634" s="6" t="s">
        <v>1355</v>
      </c>
      <c r="D1634" s="1"/>
      <c r="E1634" s="7">
        <v>1700</v>
      </c>
      <c r="F1634" s="7" t="s">
        <v>37</v>
      </c>
      <c r="G1634" s="18">
        <v>2.15</v>
      </c>
      <c r="H1634" s="165">
        <f t="shared" si="118"/>
        <v>3655</v>
      </c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56"/>
    </row>
    <row r="1635" spans="1:22" x14ac:dyDescent="0.25">
      <c r="A1635" s="25">
        <v>1624</v>
      </c>
      <c r="B1635" s="23"/>
      <c r="C1635" s="6" t="s">
        <v>1356</v>
      </c>
      <c r="D1635" s="1"/>
      <c r="E1635" s="7">
        <v>1700</v>
      </c>
      <c r="F1635" s="7" t="s">
        <v>37</v>
      </c>
      <c r="G1635" s="18">
        <v>9.5</v>
      </c>
      <c r="H1635" s="165">
        <f t="shared" si="118"/>
        <v>16150</v>
      </c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56"/>
    </row>
    <row r="1636" spans="1:22" x14ac:dyDescent="0.25">
      <c r="A1636" s="25">
        <v>1625</v>
      </c>
      <c r="B1636" s="23"/>
      <c r="C1636" s="6" t="s">
        <v>1357</v>
      </c>
      <c r="D1636" s="1"/>
      <c r="E1636" s="7">
        <v>1700</v>
      </c>
      <c r="F1636" s="7" t="s">
        <v>37</v>
      </c>
      <c r="G1636" s="18">
        <v>4.25</v>
      </c>
      <c r="H1636" s="165">
        <f t="shared" si="118"/>
        <v>7225</v>
      </c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56"/>
    </row>
    <row r="1637" spans="1:22" x14ac:dyDescent="0.25">
      <c r="A1637" s="25">
        <v>1626</v>
      </c>
      <c r="B1637" s="23"/>
      <c r="C1637" s="6" t="s">
        <v>1358</v>
      </c>
      <c r="D1637" s="1"/>
      <c r="E1637" s="7">
        <v>1700</v>
      </c>
      <c r="F1637" s="7" t="s">
        <v>37</v>
      </c>
      <c r="G1637" s="18">
        <v>3.5</v>
      </c>
      <c r="H1637" s="165">
        <f t="shared" si="118"/>
        <v>5950</v>
      </c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56"/>
    </row>
    <row r="1638" spans="1:22" x14ac:dyDescent="0.25">
      <c r="A1638" s="25">
        <v>1627</v>
      </c>
      <c r="B1638" s="23"/>
      <c r="C1638" s="6" t="s">
        <v>1359</v>
      </c>
      <c r="D1638" s="1"/>
      <c r="E1638" s="7">
        <v>1700</v>
      </c>
      <c r="F1638" s="7" t="s">
        <v>37</v>
      </c>
      <c r="G1638" s="18">
        <v>7</v>
      </c>
      <c r="H1638" s="165">
        <f t="shared" si="118"/>
        <v>11900</v>
      </c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56"/>
    </row>
    <row r="1639" spans="1:22" x14ac:dyDescent="0.25">
      <c r="A1639" s="25">
        <v>1628</v>
      </c>
      <c r="B1639" s="23"/>
      <c r="C1639" s="6" t="s">
        <v>811</v>
      </c>
      <c r="D1639" s="1"/>
      <c r="E1639" s="7">
        <v>1700</v>
      </c>
      <c r="F1639" s="7" t="s">
        <v>37</v>
      </c>
      <c r="G1639" s="18">
        <v>85.98</v>
      </c>
      <c r="H1639" s="165">
        <f t="shared" si="118"/>
        <v>146166</v>
      </c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56"/>
    </row>
    <row r="1640" spans="1:22" x14ac:dyDescent="0.25">
      <c r="A1640" s="25">
        <v>1629</v>
      </c>
      <c r="B1640" s="23"/>
      <c r="C1640" s="6" t="s">
        <v>812</v>
      </c>
      <c r="D1640" s="1"/>
      <c r="E1640" s="7">
        <v>1700</v>
      </c>
      <c r="F1640" s="7" t="s">
        <v>37</v>
      </c>
      <c r="G1640" s="18">
        <v>3.7</v>
      </c>
      <c r="H1640" s="165">
        <f t="shared" si="118"/>
        <v>6290</v>
      </c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56"/>
    </row>
    <row r="1641" spans="1:22" x14ac:dyDescent="0.25">
      <c r="A1641" s="25">
        <v>1630</v>
      </c>
      <c r="B1641" s="23"/>
      <c r="C1641" s="6" t="s">
        <v>813</v>
      </c>
      <c r="D1641" s="1"/>
      <c r="E1641" s="7">
        <v>1700</v>
      </c>
      <c r="F1641" s="7" t="s">
        <v>37</v>
      </c>
      <c r="G1641" s="18">
        <v>3.1</v>
      </c>
      <c r="H1641" s="165">
        <f t="shared" si="118"/>
        <v>5270</v>
      </c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56"/>
    </row>
    <row r="1642" spans="1:22" x14ac:dyDescent="0.25">
      <c r="A1642" s="25">
        <v>1631</v>
      </c>
      <c r="B1642" s="23"/>
      <c r="C1642" s="6" t="s">
        <v>815</v>
      </c>
      <c r="D1642" s="1"/>
      <c r="E1642" s="7">
        <v>1700</v>
      </c>
      <c r="F1642" s="7" t="s">
        <v>37</v>
      </c>
      <c r="G1642" s="18">
        <v>21</v>
      </c>
      <c r="H1642" s="165">
        <f t="shared" si="118"/>
        <v>35700</v>
      </c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56"/>
    </row>
    <row r="1643" spans="1:22" x14ac:dyDescent="0.25">
      <c r="A1643" s="25">
        <v>1632</v>
      </c>
      <c r="B1643" s="23"/>
      <c r="C1643" s="6" t="s">
        <v>1346</v>
      </c>
      <c r="D1643" s="1"/>
      <c r="E1643" s="7">
        <v>1700</v>
      </c>
      <c r="F1643" s="7" t="s">
        <v>37</v>
      </c>
      <c r="G1643" s="18">
        <v>10</v>
      </c>
      <c r="H1643" s="165">
        <f t="shared" si="118"/>
        <v>17000</v>
      </c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56"/>
    </row>
    <row r="1644" spans="1:22" x14ac:dyDescent="0.25">
      <c r="A1644" s="25">
        <v>1633</v>
      </c>
      <c r="B1644" s="23"/>
      <c r="C1644" s="6" t="s">
        <v>818</v>
      </c>
      <c r="D1644" s="1"/>
      <c r="E1644" s="7">
        <v>1700</v>
      </c>
      <c r="F1644" s="7" t="s">
        <v>37</v>
      </c>
      <c r="G1644" s="18">
        <v>7</v>
      </c>
      <c r="H1644" s="165">
        <f t="shared" si="118"/>
        <v>11900</v>
      </c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56"/>
    </row>
    <row r="1645" spans="1:22" x14ac:dyDescent="0.25">
      <c r="A1645" s="25">
        <v>1634</v>
      </c>
      <c r="B1645" s="23"/>
      <c r="C1645" s="6" t="s">
        <v>1354</v>
      </c>
      <c r="D1645" s="1"/>
      <c r="E1645" s="7">
        <v>1700</v>
      </c>
      <c r="F1645" s="7" t="s">
        <v>37</v>
      </c>
      <c r="G1645" s="18">
        <v>7.2</v>
      </c>
      <c r="H1645" s="165">
        <f t="shared" si="118"/>
        <v>12240</v>
      </c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56"/>
    </row>
    <row r="1646" spans="1:22" x14ac:dyDescent="0.25">
      <c r="A1646" s="25">
        <v>1635</v>
      </c>
      <c r="B1646" s="23"/>
      <c r="C1646" s="6" t="s">
        <v>1353</v>
      </c>
      <c r="D1646" s="1"/>
      <c r="E1646" s="7">
        <v>1700</v>
      </c>
      <c r="F1646" s="7" t="s">
        <v>37</v>
      </c>
      <c r="G1646" s="18">
        <v>11</v>
      </c>
      <c r="H1646" s="165">
        <f t="shared" si="118"/>
        <v>18700</v>
      </c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56"/>
    </row>
    <row r="1647" spans="1:22" x14ac:dyDescent="0.25">
      <c r="A1647" s="25">
        <v>1636</v>
      </c>
      <c r="B1647" s="23"/>
      <c r="C1647" s="6" t="s">
        <v>1352</v>
      </c>
      <c r="D1647" s="1"/>
      <c r="E1647" s="7">
        <v>1700</v>
      </c>
      <c r="F1647" s="7" t="s">
        <v>37</v>
      </c>
      <c r="G1647" s="18">
        <v>0.56999999999999995</v>
      </c>
      <c r="H1647" s="165">
        <f t="shared" si="118"/>
        <v>968.99999999999989</v>
      </c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56"/>
    </row>
    <row r="1648" spans="1:22" x14ac:dyDescent="0.25">
      <c r="A1648" s="25">
        <v>1637</v>
      </c>
      <c r="B1648" s="23"/>
      <c r="C1648" s="6" t="s">
        <v>1351</v>
      </c>
      <c r="D1648" s="1"/>
      <c r="E1648" s="7">
        <v>1700</v>
      </c>
      <c r="F1648" s="7" t="s">
        <v>37</v>
      </c>
      <c r="G1648" s="18">
        <v>3.5</v>
      </c>
      <c r="H1648" s="165">
        <f t="shared" si="118"/>
        <v>5950</v>
      </c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56"/>
    </row>
    <row r="1649" spans="1:22" x14ac:dyDescent="0.25">
      <c r="A1649" s="25">
        <v>1638</v>
      </c>
      <c r="B1649" s="23"/>
      <c r="C1649" s="6" t="s">
        <v>829</v>
      </c>
      <c r="D1649" s="1"/>
      <c r="E1649" s="7">
        <v>1700</v>
      </c>
      <c r="F1649" s="7" t="s">
        <v>37</v>
      </c>
      <c r="G1649" s="18">
        <v>65</v>
      </c>
      <c r="H1649" s="165">
        <f t="shared" si="118"/>
        <v>110500</v>
      </c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56"/>
    </row>
    <row r="1650" spans="1:22" x14ac:dyDescent="0.25">
      <c r="A1650" s="25">
        <v>1639</v>
      </c>
      <c r="B1650" s="23"/>
      <c r="C1650" s="6" t="s">
        <v>830</v>
      </c>
      <c r="D1650" s="1"/>
      <c r="E1650" s="7">
        <v>1700</v>
      </c>
      <c r="F1650" s="7" t="s">
        <v>37</v>
      </c>
      <c r="G1650" s="18">
        <v>14.5</v>
      </c>
      <c r="H1650" s="165">
        <f t="shared" si="118"/>
        <v>24650</v>
      </c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56"/>
    </row>
    <row r="1651" spans="1:22" x14ac:dyDescent="0.25">
      <c r="A1651" s="25">
        <v>1640</v>
      </c>
      <c r="B1651" s="23"/>
      <c r="C1651" s="6" t="s">
        <v>1350</v>
      </c>
      <c r="D1651" s="1"/>
      <c r="E1651" s="7">
        <v>1700</v>
      </c>
      <c r="F1651" s="7" t="s">
        <v>37</v>
      </c>
      <c r="G1651" s="18">
        <v>2.7479900000000002</v>
      </c>
      <c r="H1651" s="165">
        <f t="shared" si="118"/>
        <v>4671.5830000000005</v>
      </c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56"/>
    </row>
    <row r="1652" spans="1:22" x14ac:dyDescent="0.25">
      <c r="A1652" s="25">
        <v>1641</v>
      </c>
      <c r="B1652" s="23"/>
      <c r="C1652" s="6" t="s">
        <v>1349</v>
      </c>
      <c r="D1652" s="1"/>
      <c r="E1652" s="7">
        <v>1700</v>
      </c>
      <c r="F1652" s="7" t="s">
        <v>37</v>
      </c>
      <c r="G1652" s="18">
        <v>35</v>
      </c>
      <c r="H1652" s="165">
        <f t="shared" si="118"/>
        <v>59500</v>
      </c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56"/>
    </row>
    <row r="1653" spans="1:22" x14ac:dyDescent="0.25">
      <c r="A1653" s="25">
        <v>1642</v>
      </c>
      <c r="B1653" s="23"/>
      <c r="C1653" s="6" t="s">
        <v>1348</v>
      </c>
      <c r="D1653" s="1"/>
      <c r="E1653" s="7">
        <v>1850</v>
      </c>
      <c r="F1653" s="7" t="s">
        <v>37</v>
      </c>
      <c r="G1653" s="18">
        <v>6.25</v>
      </c>
      <c r="H1653" s="165">
        <f t="shared" si="118"/>
        <v>11562.5</v>
      </c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56"/>
    </row>
    <row r="1654" spans="1:22" x14ac:dyDescent="0.25">
      <c r="A1654" s="25">
        <v>1643</v>
      </c>
      <c r="B1654" s="23"/>
      <c r="C1654" s="6" t="s">
        <v>1347</v>
      </c>
      <c r="D1654" s="1"/>
      <c r="E1654" s="7">
        <v>1850</v>
      </c>
      <c r="F1654" s="7" t="s">
        <v>37</v>
      </c>
      <c r="G1654" s="18">
        <v>6.25</v>
      </c>
      <c r="H1654" s="165">
        <f t="shared" si="118"/>
        <v>11562.5</v>
      </c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56"/>
    </row>
    <row r="1655" spans="1:22" x14ac:dyDescent="0.25">
      <c r="A1655" s="25">
        <v>1644</v>
      </c>
      <c r="B1655" s="23"/>
      <c r="C1655" s="14"/>
      <c r="D1655" s="23"/>
      <c r="E1655" s="84"/>
      <c r="F1655" s="23"/>
      <c r="G1655" s="165"/>
      <c r="H1655" s="165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56"/>
    </row>
    <row r="1656" spans="1:22" ht="30" x14ac:dyDescent="0.25">
      <c r="A1656" s="25">
        <v>1645</v>
      </c>
      <c r="B1656" s="89" t="s">
        <v>121</v>
      </c>
      <c r="C1656" s="90" t="s">
        <v>106</v>
      </c>
      <c r="D1656" s="89" t="s">
        <v>27</v>
      </c>
      <c r="E1656" s="89"/>
      <c r="F1656" s="89"/>
      <c r="G1656" s="163"/>
      <c r="H1656" s="167">
        <v>1123515</v>
      </c>
      <c r="I1656" s="89" t="s">
        <v>52</v>
      </c>
      <c r="J1656" s="60"/>
      <c r="K1656" s="60"/>
      <c r="L1656" s="60"/>
      <c r="M1656" s="60">
        <v>1</v>
      </c>
      <c r="N1656" s="60"/>
      <c r="O1656" s="60"/>
      <c r="P1656" s="60">
        <v>1</v>
      </c>
      <c r="Q1656" s="60">
        <v>1</v>
      </c>
      <c r="R1656" s="60"/>
      <c r="S1656" s="60"/>
      <c r="T1656" s="60"/>
      <c r="U1656" s="60"/>
      <c r="V1656" s="56"/>
    </row>
    <row r="1657" spans="1:22" x14ac:dyDescent="0.25">
      <c r="A1657" s="25">
        <v>1646</v>
      </c>
      <c r="B1657" s="23"/>
      <c r="C1657" s="4" t="s">
        <v>1073</v>
      </c>
      <c r="D1657" s="23"/>
      <c r="E1657" s="84">
        <v>450</v>
      </c>
      <c r="F1657" s="23" t="s">
        <v>28</v>
      </c>
      <c r="G1657" s="165">
        <v>2496.6999999999998</v>
      </c>
      <c r="H1657" s="165">
        <f>G1657*E1657</f>
        <v>1123515</v>
      </c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56"/>
    </row>
    <row r="1658" spans="1:22" x14ac:dyDescent="0.25">
      <c r="A1658" s="25">
        <v>1647</v>
      </c>
      <c r="B1658" s="23"/>
      <c r="C1658" s="14"/>
      <c r="D1658" s="23"/>
      <c r="E1658" s="84"/>
      <c r="F1658" s="23"/>
      <c r="G1658" s="165"/>
      <c r="H1658" s="165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56"/>
    </row>
    <row r="1659" spans="1:22" ht="30" x14ac:dyDescent="0.25">
      <c r="A1659" s="25">
        <v>1648</v>
      </c>
      <c r="B1659" s="89" t="s">
        <v>121</v>
      </c>
      <c r="C1659" s="90" t="s">
        <v>126</v>
      </c>
      <c r="D1659" s="89" t="s">
        <v>27</v>
      </c>
      <c r="E1659" s="89"/>
      <c r="F1659" s="89"/>
      <c r="G1659" s="163"/>
      <c r="H1659" s="167">
        <v>610998.19999999995</v>
      </c>
      <c r="I1659" s="89" t="s">
        <v>52</v>
      </c>
      <c r="J1659" s="60"/>
      <c r="K1659" s="60"/>
      <c r="L1659" s="60"/>
      <c r="M1659" s="60">
        <v>1</v>
      </c>
      <c r="N1659" s="60"/>
      <c r="O1659" s="60"/>
      <c r="P1659" s="60"/>
      <c r="Q1659" s="60"/>
      <c r="R1659" s="60"/>
      <c r="S1659" s="60"/>
      <c r="T1659" s="60"/>
      <c r="U1659" s="60"/>
      <c r="V1659" s="56"/>
    </row>
    <row r="1660" spans="1:22" x14ac:dyDescent="0.25">
      <c r="A1660" s="25">
        <v>1649</v>
      </c>
      <c r="B1660" s="23"/>
      <c r="C1660" s="14" t="s">
        <v>127</v>
      </c>
      <c r="D1660" s="23"/>
      <c r="E1660" s="84">
        <v>230</v>
      </c>
      <c r="F1660" s="23" t="s">
        <v>128</v>
      </c>
      <c r="G1660" s="165">
        <v>504.34</v>
      </c>
      <c r="H1660" s="49">
        <f>G1660*E1660</f>
        <v>115998.2</v>
      </c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56"/>
    </row>
    <row r="1661" spans="1:22" x14ac:dyDescent="0.25">
      <c r="A1661" s="25">
        <v>1650</v>
      </c>
      <c r="B1661" s="23"/>
      <c r="C1661" s="14" t="s">
        <v>129</v>
      </c>
      <c r="D1661" s="23"/>
      <c r="E1661" s="84">
        <v>40</v>
      </c>
      <c r="F1661" s="23" t="s">
        <v>128</v>
      </c>
      <c r="G1661" s="165">
        <v>11750</v>
      </c>
      <c r="H1661" s="49">
        <f>G1661*E1661</f>
        <v>470000</v>
      </c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56"/>
    </row>
    <row r="1662" spans="1:22" x14ac:dyDescent="0.25">
      <c r="A1662" s="25">
        <v>1651</v>
      </c>
      <c r="B1662" s="23"/>
      <c r="C1662" s="14" t="s">
        <v>130</v>
      </c>
      <c r="D1662" s="23"/>
      <c r="E1662" s="84">
        <v>2</v>
      </c>
      <c r="F1662" s="23" t="s">
        <v>128</v>
      </c>
      <c r="G1662" s="165">
        <v>12500</v>
      </c>
      <c r="H1662" s="49">
        <f>G1662*E1662</f>
        <v>25000</v>
      </c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56"/>
    </row>
    <row r="1663" spans="1:22" x14ac:dyDescent="0.25">
      <c r="A1663" s="25">
        <v>1652</v>
      </c>
      <c r="B1663" s="23"/>
      <c r="C1663" s="14"/>
      <c r="D1663" s="23"/>
      <c r="E1663" s="84"/>
      <c r="F1663" s="23"/>
      <c r="G1663" s="165"/>
      <c r="H1663" s="165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56"/>
    </row>
    <row r="1664" spans="1:22" ht="30" x14ac:dyDescent="0.25">
      <c r="A1664" s="25">
        <v>1653</v>
      </c>
      <c r="B1664" s="89" t="s">
        <v>121</v>
      </c>
      <c r="C1664" s="90" t="s">
        <v>36</v>
      </c>
      <c r="D1664" s="89" t="s">
        <v>27</v>
      </c>
      <c r="E1664" s="89"/>
      <c r="F1664" s="89"/>
      <c r="G1664" s="163"/>
      <c r="H1664" s="167">
        <v>526740.5</v>
      </c>
      <c r="I1664" s="89" t="s">
        <v>52</v>
      </c>
      <c r="J1664" s="60"/>
      <c r="K1664" s="60"/>
      <c r="L1664" s="60"/>
      <c r="M1664" s="60">
        <v>1</v>
      </c>
      <c r="N1664" s="60"/>
      <c r="O1664" s="60"/>
      <c r="P1664" s="60"/>
      <c r="Q1664" s="60"/>
      <c r="R1664" s="60"/>
      <c r="S1664" s="60"/>
      <c r="T1664" s="60"/>
      <c r="U1664" s="60"/>
      <c r="V1664" s="56"/>
    </row>
    <row r="1665" spans="1:22" x14ac:dyDescent="0.25">
      <c r="A1665" s="25">
        <v>1654</v>
      </c>
      <c r="B1665" s="23"/>
      <c r="C1665" s="51" t="s">
        <v>810</v>
      </c>
      <c r="D1665" s="23"/>
      <c r="E1665" s="84"/>
      <c r="F1665" s="23"/>
      <c r="G1665" s="165"/>
      <c r="H1665" s="165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56"/>
    </row>
    <row r="1666" spans="1:22" x14ac:dyDescent="0.25">
      <c r="A1666" s="25">
        <v>1655</v>
      </c>
      <c r="B1666" s="23"/>
      <c r="C1666" s="6" t="s">
        <v>811</v>
      </c>
      <c r="D1666" s="23"/>
      <c r="E1666" s="8">
        <v>263</v>
      </c>
      <c r="F1666" s="8" t="s">
        <v>37</v>
      </c>
      <c r="G1666" s="181">
        <v>155</v>
      </c>
      <c r="H1666" s="165">
        <f>G1666*E1666</f>
        <v>40765</v>
      </c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56"/>
    </row>
    <row r="1667" spans="1:22" x14ac:dyDescent="0.25">
      <c r="A1667" s="25">
        <v>1656</v>
      </c>
      <c r="B1667" s="23"/>
      <c r="C1667" s="6" t="s">
        <v>812</v>
      </c>
      <c r="D1667" s="23"/>
      <c r="E1667" s="8">
        <v>263</v>
      </c>
      <c r="F1667" s="8" t="s">
        <v>37</v>
      </c>
      <c r="G1667" s="181">
        <v>70</v>
      </c>
      <c r="H1667" s="165">
        <f t="shared" ref="H1667:H1696" si="119">G1667*E1667</f>
        <v>18410</v>
      </c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56"/>
    </row>
    <row r="1668" spans="1:22" x14ac:dyDescent="0.25">
      <c r="A1668" s="25">
        <v>1657</v>
      </c>
      <c r="B1668" s="23"/>
      <c r="C1668" s="6" t="s">
        <v>813</v>
      </c>
      <c r="D1668" s="23"/>
      <c r="E1668" s="8">
        <v>263</v>
      </c>
      <c r="F1668" s="8" t="s">
        <v>37</v>
      </c>
      <c r="G1668" s="181">
        <v>70</v>
      </c>
      <c r="H1668" s="165">
        <f t="shared" si="119"/>
        <v>18410</v>
      </c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56"/>
    </row>
    <row r="1669" spans="1:22" x14ac:dyDescent="0.25">
      <c r="A1669" s="25">
        <v>1658</v>
      </c>
      <c r="B1669" s="23"/>
      <c r="C1669" s="14" t="s">
        <v>814</v>
      </c>
      <c r="D1669" s="23"/>
      <c r="E1669" s="8"/>
      <c r="F1669" s="8"/>
      <c r="G1669" s="178"/>
      <c r="H1669" s="165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56"/>
    </row>
    <row r="1670" spans="1:22" x14ac:dyDescent="0.25">
      <c r="A1670" s="25">
        <v>1659</v>
      </c>
      <c r="B1670" s="23"/>
      <c r="C1670" s="1" t="s">
        <v>815</v>
      </c>
      <c r="D1670" s="23"/>
      <c r="E1670" s="8">
        <v>263</v>
      </c>
      <c r="F1670" s="8" t="s">
        <v>37</v>
      </c>
      <c r="G1670" s="53">
        <v>225</v>
      </c>
      <c r="H1670" s="165">
        <f t="shared" si="119"/>
        <v>59175</v>
      </c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56"/>
    </row>
    <row r="1671" spans="1:22" x14ac:dyDescent="0.25">
      <c r="A1671" s="25">
        <v>1660</v>
      </c>
      <c r="B1671" s="23"/>
      <c r="C1671" s="4" t="s">
        <v>816</v>
      </c>
      <c r="D1671" s="23"/>
      <c r="E1671" s="36"/>
      <c r="F1671" s="36"/>
      <c r="G1671" s="35"/>
      <c r="H1671" s="165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56"/>
    </row>
    <row r="1672" spans="1:22" x14ac:dyDescent="0.25">
      <c r="A1672" s="25">
        <v>1661</v>
      </c>
      <c r="B1672" s="23"/>
      <c r="C1672" s="1" t="s">
        <v>817</v>
      </c>
      <c r="D1672" s="23"/>
      <c r="E1672" s="8">
        <v>263</v>
      </c>
      <c r="F1672" s="8" t="s">
        <v>37</v>
      </c>
      <c r="G1672" s="181">
        <v>12</v>
      </c>
      <c r="H1672" s="165">
        <f t="shared" si="119"/>
        <v>3156</v>
      </c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56"/>
    </row>
    <row r="1673" spans="1:22" x14ac:dyDescent="0.25">
      <c r="A1673" s="25">
        <v>1662</v>
      </c>
      <c r="B1673" s="23"/>
      <c r="C1673" s="1" t="s">
        <v>818</v>
      </c>
      <c r="D1673" s="23"/>
      <c r="E1673" s="8">
        <v>263</v>
      </c>
      <c r="F1673" s="8" t="s">
        <v>37</v>
      </c>
      <c r="G1673" s="181">
        <v>9</v>
      </c>
      <c r="H1673" s="165">
        <f t="shared" si="119"/>
        <v>2367</v>
      </c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56"/>
    </row>
    <row r="1674" spans="1:22" x14ac:dyDescent="0.25">
      <c r="A1674" s="25">
        <v>1663</v>
      </c>
      <c r="B1674" s="23"/>
      <c r="C1674" s="1" t="s">
        <v>819</v>
      </c>
      <c r="D1674" s="23"/>
      <c r="E1674" s="8">
        <v>263</v>
      </c>
      <c r="F1674" s="8" t="s">
        <v>37</v>
      </c>
      <c r="G1674" s="181">
        <v>8</v>
      </c>
      <c r="H1674" s="165">
        <f t="shared" si="119"/>
        <v>2104</v>
      </c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56"/>
    </row>
    <row r="1675" spans="1:22" x14ac:dyDescent="0.25">
      <c r="A1675" s="25">
        <v>1664</v>
      </c>
      <c r="B1675" s="23"/>
      <c r="C1675" s="1" t="s">
        <v>820</v>
      </c>
      <c r="D1675" s="23"/>
      <c r="E1675" s="8">
        <v>263</v>
      </c>
      <c r="F1675" s="8" t="s">
        <v>37</v>
      </c>
      <c r="G1675" s="181">
        <v>12</v>
      </c>
      <c r="H1675" s="165">
        <f t="shared" si="119"/>
        <v>3156</v>
      </c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56"/>
    </row>
    <row r="1676" spans="1:22" x14ac:dyDescent="0.25">
      <c r="A1676" s="25">
        <v>1665</v>
      </c>
      <c r="B1676" s="23"/>
      <c r="C1676" s="1" t="s">
        <v>827</v>
      </c>
      <c r="D1676" s="23"/>
      <c r="E1676" s="8">
        <v>263</v>
      </c>
      <c r="F1676" s="8" t="s">
        <v>37</v>
      </c>
      <c r="G1676" s="181">
        <v>5</v>
      </c>
      <c r="H1676" s="165">
        <f t="shared" si="119"/>
        <v>1315</v>
      </c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56"/>
    </row>
    <row r="1677" spans="1:22" x14ac:dyDescent="0.25">
      <c r="A1677" s="25">
        <v>1666</v>
      </c>
      <c r="B1677" s="23"/>
      <c r="C1677" s="1" t="s">
        <v>828</v>
      </c>
      <c r="D1677" s="23"/>
      <c r="E1677" s="8">
        <v>263</v>
      </c>
      <c r="F1677" s="8" t="s">
        <v>37</v>
      </c>
      <c r="G1677" s="181">
        <v>5</v>
      </c>
      <c r="H1677" s="165">
        <f t="shared" si="119"/>
        <v>1315</v>
      </c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56"/>
    </row>
    <row r="1678" spans="1:22" x14ac:dyDescent="0.25">
      <c r="A1678" s="25">
        <v>1667</v>
      </c>
      <c r="B1678" s="23"/>
      <c r="C1678" s="1" t="s">
        <v>829</v>
      </c>
      <c r="D1678" s="23"/>
      <c r="E1678" s="8">
        <v>263</v>
      </c>
      <c r="F1678" s="8" t="s">
        <v>37</v>
      </c>
      <c r="G1678" s="181">
        <v>66</v>
      </c>
      <c r="H1678" s="165">
        <f t="shared" si="119"/>
        <v>17358</v>
      </c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56"/>
    </row>
    <row r="1679" spans="1:22" x14ac:dyDescent="0.25">
      <c r="A1679" s="25">
        <v>1668</v>
      </c>
      <c r="B1679" s="23"/>
      <c r="C1679" s="1" t="s">
        <v>830</v>
      </c>
      <c r="D1679" s="23"/>
      <c r="E1679" s="8">
        <v>263</v>
      </c>
      <c r="F1679" s="8" t="s">
        <v>37</v>
      </c>
      <c r="G1679" s="181">
        <v>19</v>
      </c>
      <c r="H1679" s="165">
        <f t="shared" si="119"/>
        <v>4997</v>
      </c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56"/>
    </row>
    <row r="1680" spans="1:22" x14ac:dyDescent="0.25">
      <c r="A1680" s="25">
        <v>1669</v>
      </c>
      <c r="B1680" s="23"/>
      <c r="C1680" s="1" t="s">
        <v>831</v>
      </c>
      <c r="D1680" s="23"/>
      <c r="E1680" s="8">
        <v>263</v>
      </c>
      <c r="F1680" s="8" t="s">
        <v>37</v>
      </c>
      <c r="G1680" s="181">
        <v>5</v>
      </c>
      <c r="H1680" s="165">
        <f t="shared" si="119"/>
        <v>1315</v>
      </c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56"/>
    </row>
    <row r="1681" spans="1:22" x14ac:dyDescent="0.25">
      <c r="A1681" s="25">
        <v>1670</v>
      </c>
      <c r="B1681" s="23"/>
      <c r="C1681" s="1" t="s">
        <v>832</v>
      </c>
      <c r="D1681" s="23"/>
      <c r="E1681" s="8">
        <v>263</v>
      </c>
      <c r="F1681" s="8" t="s">
        <v>37</v>
      </c>
      <c r="G1681" s="181">
        <v>45</v>
      </c>
      <c r="H1681" s="165">
        <f t="shared" si="119"/>
        <v>11835</v>
      </c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56"/>
    </row>
    <row r="1682" spans="1:22" x14ac:dyDescent="0.25">
      <c r="A1682" s="25">
        <v>1671</v>
      </c>
      <c r="B1682" s="23"/>
      <c r="C1682" s="1" t="s">
        <v>833</v>
      </c>
      <c r="D1682" s="23"/>
      <c r="E1682" s="8">
        <v>263</v>
      </c>
      <c r="F1682" s="8" t="s">
        <v>37</v>
      </c>
      <c r="G1682" s="181">
        <v>7</v>
      </c>
      <c r="H1682" s="165">
        <f t="shared" si="119"/>
        <v>1841</v>
      </c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56"/>
    </row>
    <row r="1683" spans="1:22" x14ac:dyDescent="0.25">
      <c r="A1683" s="25">
        <v>1672</v>
      </c>
      <c r="B1683" s="23"/>
      <c r="C1683" s="1" t="s">
        <v>834</v>
      </c>
      <c r="D1683" s="23"/>
      <c r="E1683" s="8">
        <v>263</v>
      </c>
      <c r="F1683" s="8" t="s">
        <v>37</v>
      </c>
      <c r="G1683" s="181">
        <v>7</v>
      </c>
      <c r="H1683" s="165">
        <f t="shared" si="119"/>
        <v>1841</v>
      </c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56"/>
    </row>
    <row r="1684" spans="1:22" x14ac:dyDescent="0.25">
      <c r="A1684" s="25">
        <v>1673</v>
      </c>
      <c r="B1684" s="23"/>
      <c r="C1684" s="14" t="s">
        <v>841</v>
      </c>
      <c r="D1684" s="23"/>
      <c r="E1684" s="8">
        <v>263</v>
      </c>
      <c r="F1684" s="8" t="s">
        <v>37</v>
      </c>
      <c r="G1684" s="181"/>
      <c r="H1684" s="165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56"/>
    </row>
    <row r="1685" spans="1:22" x14ac:dyDescent="0.25">
      <c r="A1685" s="25">
        <v>1674</v>
      </c>
      <c r="B1685" s="23"/>
      <c r="C1685" s="51" t="s">
        <v>835</v>
      </c>
      <c r="D1685" s="23"/>
      <c r="E1685" s="8">
        <v>263</v>
      </c>
      <c r="F1685" s="8" t="s">
        <v>37</v>
      </c>
      <c r="G1685" s="181">
        <v>165</v>
      </c>
      <c r="H1685" s="165">
        <f t="shared" si="119"/>
        <v>43395</v>
      </c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56"/>
    </row>
    <row r="1686" spans="1:22" x14ac:dyDescent="0.25">
      <c r="A1686" s="25">
        <v>1675</v>
      </c>
      <c r="B1686" s="23"/>
      <c r="C1686" s="51" t="s">
        <v>836</v>
      </c>
      <c r="D1686" s="23"/>
      <c r="E1686" s="8">
        <v>263</v>
      </c>
      <c r="F1686" s="8" t="s">
        <v>37</v>
      </c>
      <c r="G1686" s="181">
        <v>266</v>
      </c>
      <c r="H1686" s="165">
        <f t="shared" si="119"/>
        <v>69958</v>
      </c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56"/>
    </row>
    <row r="1687" spans="1:22" x14ac:dyDescent="0.25">
      <c r="A1687" s="25">
        <v>1676</v>
      </c>
      <c r="B1687" s="23"/>
      <c r="C1687" s="51" t="s">
        <v>837</v>
      </c>
      <c r="D1687" s="23"/>
      <c r="E1687" s="8">
        <v>263</v>
      </c>
      <c r="F1687" s="8" t="s">
        <v>37</v>
      </c>
      <c r="G1687" s="181">
        <v>236</v>
      </c>
      <c r="H1687" s="165">
        <f t="shared" si="119"/>
        <v>62068</v>
      </c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56"/>
    </row>
    <row r="1688" spans="1:22" x14ac:dyDescent="0.25">
      <c r="A1688" s="25">
        <v>1677</v>
      </c>
      <c r="B1688" s="23"/>
      <c r="C1688" s="51" t="s">
        <v>838</v>
      </c>
      <c r="D1688" s="23"/>
      <c r="E1688" s="8">
        <v>263</v>
      </c>
      <c r="F1688" s="8" t="s">
        <v>37</v>
      </c>
      <c r="G1688" s="181">
        <v>120</v>
      </c>
      <c r="H1688" s="165">
        <f t="shared" si="119"/>
        <v>31560</v>
      </c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56"/>
    </row>
    <row r="1689" spans="1:22" x14ac:dyDescent="0.25">
      <c r="A1689" s="25">
        <v>1678</v>
      </c>
      <c r="B1689" s="23"/>
      <c r="C1689" s="51" t="s">
        <v>839</v>
      </c>
      <c r="D1689" s="23"/>
      <c r="E1689" s="8">
        <v>263</v>
      </c>
      <c r="F1689" s="8" t="s">
        <v>37</v>
      </c>
      <c r="G1689" s="181">
        <v>100</v>
      </c>
      <c r="H1689" s="165">
        <f t="shared" si="119"/>
        <v>26300</v>
      </c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56"/>
    </row>
    <row r="1690" spans="1:22" x14ac:dyDescent="0.25">
      <c r="A1690" s="25">
        <v>1679</v>
      </c>
      <c r="B1690" s="23"/>
      <c r="C1690" s="1" t="s">
        <v>840</v>
      </c>
      <c r="D1690" s="23"/>
      <c r="E1690" s="8">
        <v>263</v>
      </c>
      <c r="F1690" s="8" t="s">
        <v>37</v>
      </c>
      <c r="G1690" s="181">
        <v>250</v>
      </c>
      <c r="H1690" s="165">
        <f t="shared" si="119"/>
        <v>65750</v>
      </c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56"/>
    </row>
    <row r="1691" spans="1:22" x14ac:dyDescent="0.25">
      <c r="A1691" s="25">
        <v>1680</v>
      </c>
      <c r="B1691" s="23"/>
      <c r="C1691" s="14" t="s">
        <v>821</v>
      </c>
      <c r="D1691" s="23"/>
      <c r="E1691" s="23">
        <v>263</v>
      </c>
      <c r="F1691" s="8" t="s">
        <v>37</v>
      </c>
      <c r="G1691" s="116">
        <v>50</v>
      </c>
      <c r="H1691" s="165">
        <f t="shared" si="119"/>
        <v>13150</v>
      </c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56"/>
    </row>
    <row r="1692" spans="1:22" x14ac:dyDescent="0.25">
      <c r="A1692" s="25">
        <v>1681</v>
      </c>
      <c r="B1692" s="23"/>
      <c r="C1692" s="93" t="s">
        <v>822</v>
      </c>
      <c r="D1692" s="23"/>
      <c r="E1692" s="23">
        <v>202</v>
      </c>
      <c r="F1692" s="8" t="s">
        <v>37</v>
      </c>
      <c r="G1692" s="165">
        <v>50</v>
      </c>
      <c r="H1692" s="165">
        <f t="shared" si="119"/>
        <v>10100</v>
      </c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56"/>
    </row>
    <row r="1693" spans="1:22" x14ac:dyDescent="0.25">
      <c r="A1693" s="25">
        <v>1682</v>
      </c>
      <c r="B1693" s="23"/>
      <c r="C1693" s="93" t="s">
        <v>823</v>
      </c>
      <c r="D1693" s="23"/>
      <c r="E1693" s="23">
        <v>202</v>
      </c>
      <c r="F1693" s="8" t="s">
        <v>37</v>
      </c>
      <c r="G1693" s="165">
        <v>20</v>
      </c>
      <c r="H1693" s="165">
        <f t="shared" si="119"/>
        <v>4040</v>
      </c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56"/>
    </row>
    <row r="1694" spans="1:22" x14ac:dyDescent="0.25">
      <c r="A1694" s="25">
        <v>1683</v>
      </c>
      <c r="B1694" s="23"/>
      <c r="C1694" s="93" t="s">
        <v>824</v>
      </c>
      <c r="D1694" s="23"/>
      <c r="E1694" s="23">
        <v>202</v>
      </c>
      <c r="F1694" s="8" t="s">
        <v>37</v>
      </c>
      <c r="G1694" s="165">
        <v>12.75</v>
      </c>
      <c r="H1694" s="165">
        <f t="shared" si="119"/>
        <v>2575.5</v>
      </c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56"/>
    </row>
    <row r="1695" spans="1:22" x14ac:dyDescent="0.25">
      <c r="A1695" s="25">
        <v>1684</v>
      </c>
      <c r="B1695" s="23"/>
      <c r="C1695" s="93" t="s">
        <v>825</v>
      </c>
      <c r="D1695" s="23"/>
      <c r="E1695" s="23">
        <v>202</v>
      </c>
      <c r="F1695" s="8" t="s">
        <v>37</v>
      </c>
      <c r="G1695" s="165">
        <v>12</v>
      </c>
      <c r="H1695" s="165">
        <f t="shared" si="119"/>
        <v>2424</v>
      </c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56"/>
    </row>
    <row r="1696" spans="1:22" x14ac:dyDescent="0.25">
      <c r="A1696" s="25">
        <v>1685</v>
      </c>
      <c r="B1696" s="23"/>
      <c r="C1696" s="93" t="s">
        <v>826</v>
      </c>
      <c r="D1696" s="23"/>
      <c r="E1696" s="23">
        <v>202</v>
      </c>
      <c r="F1696" s="8" t="s">
        <v>37</v>
      </c>
      <c r="G1696" s="165">
        <v>30</v>
      </c>
      <c r="H1696" s="165">
        <f t="shared" si="119"/>
        <v>6060</v>
      </c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56"/>
    </row>
    <row r="1697" spans="1:22" x14ac:dyDescent="0.25">
      <c r="A1697" s="25">
        <v>1686</v>
      </c>
      <c r="B1697" s="23"/>
      <c r="C1697" s="14"/>
      <c r="D1697" s="23"/>
      <c r="E1697" s="84"/>
      <c r="F1697" s="23"/>
      <c r="G1697" s="165"/>
      <c r="H1697" s="165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56"/>
    </row>
    <row r="1698" spans="1:22" ht="30" x14ac:dyDescent="0.25">
      <c r="A1698" s="25">
        <v>1687</v>
      </c>
      <c r="B1698" s="89" t="s">
        <v>121</v>
      </c>
      <c r="C1698" s="90" t="s">
        <v>135</v>
      </c>
      <c r="D1698" s="89" t="s">
        <v>27</v>
      </c>
      <c r="E1698" s="89"/>
      <c r="F1698" s="89"/>
      <c r="G1698" s="163"/>
      <c r="H1698" s="167">
        <v>18149304</v>
      </c>
      <c r="I1698" s="89" t="s">
        <v>52</v>
      </c>
      <c r="J1698" s="60">
        <v>3</v>
      </c>
      <c r="K1698" s="60">
        <v>3</v>
      </c>
      <c r="L1698" s="60">
        <v>3</v>
      </c>
      <c r="M1698" s="60">
        <v>3</v>
      </c>
      <c r="N1698" s="60">
        <v>3</v>
      </c>
      <c r="O1698" s="60">
        <v>3</v>
      </c>
      <c r="P1698" s="60">
        <v>3</v>
      </c>
      <c r="Q1698" s="60">
        <v>3</v>
      </c>
      <c r="R1698" s="60">
        <v>3</v>
      </c>
      <c r="S1698" s="60">
        <v>3</v>
      </c>
      <c r="T1698" s="60">
        <v>3</v>
      </c>
      <c r="U1698" s="60">
        <v>3</v>
      </c>
      <c r="V1698" s="56"/>
    </row>
    <row r="1699" spans="1:22" ht="28.5" x14ac:dyDescent="0.25">
      <c r="A1699" s="25">
        <v>1688</v>
      </c>
      <c r="B1699" s="23"/>
      <c r="C1699" s="14" t="s">
        <v>1436</v>
      </c>
      <c r="D1699" s="23"/>
      <c r="E1699" s="84"/>
      <c r="F1699" s="23"/>
      <c r="G1699" s="165"/>
      <c r="H1699" s="165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56"/>
    </row>
    <row r="1700" spans="1:22" x14ac:dyDescent="0.25">
      <c r="A1700" s="25">
        <v>1689</v>
      </c>
      <c r="B1700" s="23"/>
      <c r="C1700" s="14" t="s">
        <v>1139</v>
      </c>
      <c r="D1700" s="23"/>
      <c r="E1700" s="23">
        <f>3550*4</f>
        <v>14200</v>
      </c>
      <c r="F1700" s="23" t="s">
        <v>37</v>
      </c>
      <c r="G1700" s="101">
        <v>56.008000000000003</v>
      </c>
      <c r="H1700" s="165">
        <f>G1700*E1700</f>
        <v>795313.60000000009</v>
      </c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56"/>
    </row>
    <row r="1701" spans="1:22" x14ac:dyDescent="0.25">
      <c r="A1701" s="25">
        <v>1690</v>
      </c>
      <c r="B1701" s="23"/>
      <c r="C1701" s="14" t="s">
        <v>1140</v>
      </c>
      <c r="D1701" s="23"/>
      <c r="E1701" s="23">
        <f t="shared" ref="E1701:E1743" si="120">3550*4</f>
        <v>14200</v>
      </c>
      <c r="F1701" s="23" t="s">
        <v>37</v>
      </c>
      <c r="G1701" s="101">
        <v>9.1999999999999993</v>
      </c>
      <c r="H1701" s="165">
        <f t="shared" ref="H1701:H1743" si="121">G1701*E1701</f>
        <v>130639.99999999999</v>
      </c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56"/>
    </row>
    <row r="1702" spans="1:22" x14ac:dyDescent="0.25">
      <c r="A1702" s="25">
        <v>1691</v>
      </c>
      <c r="B1702" s="23"/>
      <c r="C1702" s="14" t="s">
        <v>1141</v>
      </c>
      <c r="D1702" s="23"/>
      <c r="E1702" s="23">
        <f t="shared" si="120"/>
        <v>14200</v>
      </c>
      <c r="F1702" s="23" t="s">
        <v>37</v>
      </c>
      <c r="G1702" s="101">
        <v>25.5</v>
      </c>
      <c r="H1702" s="165">
        <f t="shared" si="121"/>
        <v>362100</v>
      </c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56"/>
    </row>
    <row r="1703" spans="1:22" x14ac:dyDescent="0.25">
      <c r="A1703" s="25">
        <v>1692</v>
      </c>
      <c r="B1703" s="23"/>
      <c r="C1703" s="14" t="s">
        <v>1142</v>
      </c>
      <c r="D1703" s="23"/>
      <c r="E1703" s="23">
        <f t="shared" si="120"/>
        <v>14200</v>
      </c>
      <c r="F1703" s="23" t="s">
        <v>37</v>
      </c>
      <c r="G1703" s="101">
        <v>6.83</v>
      </c>
      <c r="H1703" s="165">
        <f t="shared" si="121"/>
        <v>96986</v>
      </c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56"/>
    </row>
    <row r="1704" spans="1:22" x14ac:dyDescent="0.25">
      <c r="A1704" s="25">
        <v>1693</v>
      </c>
      <c r="B1704" s="23"/>
      <c r="C1704" s="14" t="s">
        <v>1143</v>
      </c>
      <c r="D1704" s="23"/>
      <c r="E1704" s="23">
        <f t="shared" si="120"/>
        <v>14200</v>
      </c>
      <c r="F1704" s="23" t="s">
        <v>37</v>
      </c>
      <c r="G1704" s="101">
        <v>4.68</v>
      </c>
      <c r="H1704" s="165">
        <f t="shared" si="121"/>
        <v>66456</v>
      </c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56"/>
    </row>
    <row r="1705" spans="1:22" x14ac:dyDescent="0.25">
      <c r="A1705" s="25">
        <v>1694</v>
      </c>
      <c r="B1705" s="23"/>
      <c r="C1705" s="14" t="s">
        <v>1144</v>
      </c>
      <c r="D1705" s="23"/>
      <c r="E1705" s="23">
        <f t="shared" si="120"/>
        <v>14200</v>
      </c>
      <c r="F1705" s="23" t="s">
        <v>37</v>
      </c>
      <c r="G1705" s="101">
        <v>14.24415207</v>
      </c>
      <c r="H1705" s="165">
        <f t="shared" si="121"/>
        <v>202266.959394</v>
      </c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56"/>
    </row>
    <row r="1706" spans="1:22" x14ac:dyDescent="0.25">
      <c r="A1706" s="25">
        <v>1695</v>
      </c>
      <c r="B1706" s="23"/>
      <c r="C1706" s="14" t="s">
        <v>1145</v>
      </c>
      <c r="D1706" s="23"/>
      <c r="E1706" s="23">
        <f t="shared" si="120"/>
        <v>14200</v>
      </c>
      <c r="F1706" s="23" t="s">
        <v>37</v>
      </c>
      <c r="G1706" s="101">
        <v>22.4</v>
      </c>
      <c r="H1706" s="165">
        <f t="shared" si="121"/>
        <v>318080</v>
      </c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56"/>
    </row>
    <row r="1707" spans="1:22" x14ac:dyDescent="0.25">
      <c r="A1707" s="25">
        <v>1696</v>
      </c>
      <c r="B1707" s="23"/>
      <c r="C1707" s="14" t="s">
        <v>1146</v>
      </c>
      <c r="D1707" s="23"/>
      <c r="E1707" s="23">
        <f t="shared" si="120"/>
        <v>14200</v>
      </c>
      <c r="F1707" s="23" t="s">
        <v>37</v>
      </c>
      <c r="G1707" s="101">
        <v>108.75</v>
      </c>
      <c r="H1707" s="165">
        <f t="shared" si="121"/>
        <v>1544250</v>
      </c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56"/>
    </row>
    <row r="1708" spans="1:22" x14ac:dyDescent="0.25">
      <c r="A1708" s="25">
        <v>1697</v>
      </c>
      <c r="B1708" s="23"/>
      <c r="C1708" s="14" t="s">
        <v>1147</v>
      </c>
      <c r="D1708" s="23"/>
      <c r="E1708" s="23">
        <f t="shared" si="120"/>
        <v>14200</v>
      </c>
      <c r="F1708" s="23" t="s">
        <v>37</v>
      </c>
      <c r="G1708" s="101">
        <v>6.78</v>
      </c>
      <c r="H1708" s="165">
        <f t="shared" si="121"/>
        <v>96276</v>
      </c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56"/>
    </row>
    <row r="1709" spans="1:22" x14ac:dyDescent="0.25">
      <c r="A1709" s="25">
        <v>1698</v>
      </c>
      <c r="B1709" s="23"/>
      <c r="C1709" s="14" t="s">
        <v>1148</v>
      </c>
      <c r="D1709" s="23"/>
      <c r="E1709" s="23">
        <f t="shared" si="120"/>
        <v>14200</v>
      </c>
      <c r="F1709" s="23" t="s">
        <v>37</v>
      </c>
      <c r="G1709" s="101">
        <v>5.63</v>
      </c>
      <c r="H1709" s="165">
        <f t="shared" si="121"/>
        <v>79946</v>
      </c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56"/>
    </row>
    <row r="1710" spans="1:22" x14ac:dyDescent="0.25">
      <c r="A1710" s="25">
        <v>1699</v>
      </c>
      <c r="B1710" s="23"/>
      <c r="C1710" s="14" t="s">
        <v>1149</v>
      </c>
      <c r="D1710" s="23"/>
      <c r="E1710" s="23">
        <f t="shared" si="120"/>
        <v>14200</v>
      </c>
      <c r="F1710" s="23" t="s">
        <v>37</v>
      </c>
      <c r="G1710" s="101">
        <v>9.9</v>
      </c>
      <c r="H1710" s="165">
        <f t="shared" si="121"/>
        <v>140580</v>
      </c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56"/>
    </row>
    <row r="1711" spans="1:22" x14ac:dyDescent="0.25">
      <c r="A1711" s="25">
        <v>1700</v>
      </c>
      <c r="B1711" s="23"/>
      <c r="C1711" s="14" t="s">
        <v>1150</v>
      </c>
      <c r="D1711" s="23"/>
      <c r="E1711" s="23">
        <f t="shared" si="120"/>
        <v>14200</v>
      </c>
      <c r="F1711" s="23" t="s">
        <v>37</v>
      </c>
      <c r="G1711" s="101">
        <v>13.2</v>
      </c>
      <c r="H1711" s="165">
        <f t="shared" si="121"/>
        <v>187440</v>
      </c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56"/>
    </row>
    <row r="1712" spans="1:22" x14ac:dyDescent="0.25">
      <c r="A1712" s="25">
        <v>1701</v>
      </c>
      <c r="B1712" s="23"/>
      <c r="C1712" s="14" t="s">
        <v>1151</v>
      </c>
      <c r="D1712" s="23"/>
      <c r="E1712" s="23">
        <f t="shared" si="120"/>
        <v>14200</v>
      </c>
      <c r="F1712" s="23" t="s">
        <v>37</v>
      </c>
      <c r="G1712" s="101">
        <v>9.9</v>
      </c>
      <c r="H1712" s="165">
        <f t="shared" si="121"/>
        <v>140580</v>
      </c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56"/>
    </row>
    <row r="1713" spans="1:22" x14ac:dyDescent="0.25">
      <c r="A1713" s="25">
        <v>1702</v>
      </c>
      <c r="B1713" s="23"/>
      <c r="C1713" s="14" t="s">
        <v>1152</v>
      </c>
      <c r="D1713" s="23"/>
      <c r="E1713" s="23">
        <f t="shared" si="120"/>
        <v>14200</v>
      </c>
      <c r="F1713" s="23" t="s">
        <v>37</v>
      </c>
      <c r="G1713" s="101">
        <v>30</v>
      </c>
      <c r="H1713" s="165">
        <f t="shared" si="121"/>
        <v>426000</v>
      </c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56"/>
    </row>
    <row r="1714" spans="1:22" x14ac:dyDescent="0.25">
      <c r="A1714" s="25">
        <v>1703</v>
      </c>
      <c r="B1714" s="23"/>
      <c r="C1714" s="14" t="s">
        <v>1153</v>
      </c>
      <c r="D1714" s="23"/>
      <c r="E1714" s="23">
        <f t="shared" si="120"/>
        <v>14200</v>
      </c>
      <c r="F1714" s="23" t="s">
        <v>37</v>
      </c>
      <c r="G1714" s="101">
        <v>18</v>
      </c>
      <c r="H1714" s="165">
        <f t="shared" si="121"/>
        <v>255600</v>
      </c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56"/>
    </row>
    <row r="1715" spans="1:22" x14ac:dyDescent="0.25">
      <c r="A1715" s="25">
        <v>1704</v>
      </c>
      <c r="B1715" s="23"/>
      <c r="C1715" s="14" t="s">
        <v>1154</v>
      </c>
      <c r="D1715" s="23"/>
      <c r="E1715" s="23">
        <f t="shared" si="120"/>
        <v>14200</v>
      </c>
      <c r="F1715" s="23" t="s">
        <v>37</v>
      </c>
      <c r="G1715" s="101">
        <v>25</v>
      </c>
      <c r="H1715" s="165">
        <f t="shared" si="121"/>
        <v>355000</v>
      </c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56"/>
    </row>
    <row r="1716" spans="1:22" x14ac:dyDescent="0.25">
      <c r="A1716" s="25">
        <v>1705</v>
      </c>
      <c r="B1716" s="23"/>
      <c r="C1716" s="14" t="s">
        <v>1155</v>
      </c>
      <c r="D1716" s="23"/>
      <c r="E1716" s="23">
        <f t="shared" si="120"/>
        <v>14200</v>
      </c>
      <c r="F1716" s="23" t="s">
        <v>37</v>
      </c>
      <c r="G1716" s="101">
        <v>3.5</v>
      </c>
      <c r="H1716" s="165">
        <f t="shared" si="121"/>
        <v>49700</v>
      </c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56"/>
    </row>
    <row r="1717" spans="1:22" x14ac:dyDescent="0.25">
      <c r="A1717" s="25">
        <v>1706</v>
      </c>
      <c r="B1717" s="23"/>
      <c r="C1717" s="14" t="s">
        <v>1156</v>
      </c>
      <c r="D1717" s="23"/>
      <c r="E1717" s="23">
        <f t="shared" si="120"/>
        <v>14200</v>
      </c>
      <c r="F1717" s="23" t="s">
        <v>37</v>
      </c>
      <c r="G1717" s="101">
        <v>35</v>
      </c>
      <c r="H1717" s="165">
        <f t="shared" si="121"/>
        <v>497000</v>
      </c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56"/>
    </row>
    <row r="1718" spans="1:22" x14ac:dyDescent="0.25">
      <c r="A1718" s="25">
        <v>1707</v>
      </c>
      <c r="B1718" s="23"/>
      <c r="C1718" s="14" t="s">
        <v>1157</v>
      </c>
      <c r="D1718" s="23"/>
      <c r="E1718" s="23">
        <f t="shared" si="120"/>
        <v>14200</v>
      </c>
      <c r="F1718" s="23" t="s">
        <v>37</v>
      </c>
      <c r="G1718" s="101">
        <v>40.68</v>
      </c>
      <c r="H1718" s="165">
        <f t="shared" si="121"/>
        <v>577656</v>
      </c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56"/>
    </row>
    <row r="1719" spans="1:22" x14ac:dyDescent="0.25">
      <c r="A1719" s="25">
        <v>1708</v>
      </c>
      <c r="B1719" s="23"/>
      <c r="C1719" s="14" t="s">
        <v>1158</v>
      </c>
      <c r="D1719" s="23"/>
      <c r="E1719" s="23">
        <f t="shared" si="120"/>
        <v>14200</v>
      </c>
      <c r="F1719" s="23" t="s">
        <v>37</v>
      </c>
      <c r="G1719" s="101">
        <v>350</v>
      </c>
      <c r="H1719" s="165">
        <f t="shared" si="121"/>
        <v>4970000</v>
      </c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56"/>
    </row>
    <row r="1720" spans="1:22" x14ac:dyDescent="0.25">
      <c r="A1720" s="25">
        <v>1709</v>
      </c>
      <c r="B1720" s="23"/>
      <c r="C1720" s="14" t="s">
        <v>1159</v>
      </c>
      <c r="D1720" s="23"/>
      <c r="E1720" s="23">
        <f t="shared" si="120"/>
        <v>14200</v>
      </c>
      <c r="F1720" s="23" t="s">
        <v>37</v>
      </c>
      <c r="G1720" s="101">
        <v>73.650000000000006</v>
      </c>
      <c r="H1720" s="165">
        <f t="shared" si="121"/>
        <v>1045830.0000000001</v>
      </c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56"/>
    </row>
    <row r="1721" spans="1:22" x14ac:dyDescent="0.25">
      <c r="A1721" s="25">
        <v>1710</v>
      </c>
      <c r="B1721" s="23"/>
      <c r="C1721" s="14" t="s">
        <v>1160</v>
      </c>
      <c r="D1721" s="23"/>
      <c r="E1721" s="23">
        <f t="shared" si="120"/>
        <v>14200</v>
      </c>
      <c r="F1721" s="23" t="s">
        <v>37</v>
      </c>
      <c r="G1721" s="101">
        <v>0.6</v>
      </c>
      <c r="H1721" s="165">
        <f t="shared" si="121"/>
        <v>8520</v>
      </c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56"/>
    </row>
    <row r="1722" spans="1:22" x14ac:dyDescent="0.25">
      <c r="A1722" s="25">
        <v>1711</v>
      </c>
      <c r="B1722" s="23"/>
      <c r="C1722" s="14" t="s">
        <v>1161</v>
      </c>
      <c r="D1722" s="23"/>
      <c r="E1722" s="23">
        <f t="shared" si="120"/>
        <v>14200</v>
      </c>
      <c r="F1722" s="23" t="s">
        <v>37</v>
      </c>
      <c r="G1722" s="101">
        <v>2.15</v>
      </c>
      <c r="H1722" s="165">
        <f t="shared" si="121"/>
        <v>30530</v>
      </c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56"/>
    </row>
    <row r="1723" spans="1:22" x14ac:dyDescent="0.25">
      <c r="A1723" s="25">
        <v>1712</v>
      </c>
      <c r="B1723" s="23"/>
      <c r="C1723" s="14" t="s">
        <v>1162</v>
      </c>
      <c r="D1723" s="23"/>
      <c r="E1723" s="23">
        <f t="shared" si="120"/>
        <v>14200</v>
      </c>
      <c r="F1723" s="23" t="s">
        <v>37</v>
      </c>
      <c r="G1723" s="101">
        <v>9.5</v>
      </c>
      <c r="H1723" s="165">
        <f t="shared" si="121"/>
        <v>134900</v>
      </c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56"/>
    </row>
    <row r="1724" spans="1:22" x14ac:dyDescent="0.25">
      <c r="A1724" s="25">
        <v>1713</v>
      </c>
      <c r="B1724" s="23"/>
      <c r="C1724" s="14" t="s">
        <v>1163</v>
      </c>
      <c r="D1724" s="23"/>
      <c r="E1724" s="23">
        <f t="shared" si="120"/>
        <v>14200</v>
      </c>
      <c r="F1724" s="23" t="s">
        <v>37</v>
      </c>
      <c r="G1724" s="101">
        <v>4.25</v>
      </c>
      <c r="H1724" s="165">
        <f t="shared" si="121"/>
        <v>60350</v>
      </c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56"/>
    </row>
    <row r="1725" spans="1:22" x14ac:dyDescent="0.25">
      <c r="A1725" s="25">
        <v>1714</v>
      </c>
      <c r="B1725" s="23"/>
      <c r="C1725" s="14" t="s">
        <v>1164</v>
      </c>
      <c r="D1725" s="23"/>
      <c r="E1725" s="23">
        <f t="shared" si="120"/>
        <v>14200</v>
      </c>
      <c r="F1725" s="23" t="s">
        <v>37</v>
      </c>
      <c r="G1725" s="101">
        <v>3.5</v>
      </c>
      <c r="H1725" s="165">
        <f t="shared" si="121"/>
        <v>49700</v>
      </c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56"/>
    </row>
    <row r="1726" spans="1:22" x14ac:dyDescent="0.25">
      <c r="A1726" s="25">
        <v>1715</v>
      </c>
      <c r="B1726" s="23"/>
      <c r="C1726" s="14" t="s">
        <v>825</v>
      </c>
      <c r="D1726" s="23"/>
      <c r="E1726" s="23">
        <f>3550*4</f>
        <v>14200</v>
      </c>
      <c r="F1726" s="23" t="s">
        <v>37</v>
      </c>
      <c r="G1726" s="101">
        <v>7</v>
      </c>
      <c r="H1726" s="165">
        <f t="shared" si="121"/>
        <v>99400</v>
      </c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56"/>
    </row>
    <row r="1727" spans="1:22" x14ac:dyDescent="0.25">
      <c r="A1727" s="25">
        <v>1716</v>
      </c>
      <c r="B1727" s="23"/>
      <c r="C1727" s="14" t="s">
        <v>1165</v>
      </c>
      <c r="D1727" s="23"/>
      <c r="E1727" s="23">
        <f t="shared" si="120"/>
        <v>14200</v>
      </c>
      <c r="F1727" s="23" t="s">
        <v>37</v>
      </c>
      <c r="G1727" s="101">
        <v>65.98</v>
      </c>
      <c r="H1727" s="165">
        <f t="shared" si="121"/>
        <v>936916</v>
      </c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56"/>
    </row>
    <row r="1728" spans="1:22" ht="21" customHeight="1" x14ac:dyDescent="0.25">
      <c r="A1728" s="25">
        <v>1717</v>
      </c>
      <c r="B1728" s="23"/>
      <c r="C1728" s="14" t="s">
        <v>1166</v>
      </c>
      <c r="D1728" s="23"/>
      <c r="E1728" s="23">
        <f t="shared" si="120"/>
        <v>14200</v>
      </c>
      <c r="F1728" s="23" t="s">
        <v>37</v>
      </c>
      <c r="G1728" s="101">
        <v>3.7</v>
      </c>
      <c r="H1728" s="165">
        <f>G1728*E1728</f>
        <v>52540</v>
      </c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56"/>
    </row>
    <row r="1729" spans="1:22" x14ac:dyDescent="0.25">
      <c r="A1729" s="25">
        <v>1718</v>
      </c>
      <c r="B1729" s="23"/>
      <c r="C1729" s="14" t="s">
        <v>1167</v>
      </c>
      <c r="D1729" s="23"/>
      <c r="E1729" s="23">
        <f t="shared" si="120"/>
        <v>14200</v>
      </c>
      <c r="F1729" s="23" t="s">
        <v>37</v>
      </c>
      <c r="G1729" s="101">
        <v>3.1</v>
      </c>
      <c r="H1729" s="165">
        <f t="shared" si="121"/>
        <v>44020</v>
      </c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56"/>
    </row>
    <row r="1730" spans="1:22" x14ac:dyDescent="0.25">
      <c r="A1730" s="25">
        <v>1719</v>
      </c>
      <c r="B1730" s="23"/>
      <c r="C1730" s="14" t="s">
        <v>1168</v>
      </c>
      <c r="D1730" s="23"/>
      <c r="E1730" s="23">
        <f t="shared" si="120"/>
        <v>14200</v>
      </c>
      <c r="F1730" s="23" t="s">
        <v>37</v>
      </c>
      <c r="G1730" s="101">
        <v>21</v>
      </c>
      <c r="H1730" s="165">
        <f t="shared" si="121"/>
        <v>298200</v>
      </c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56"/>
    </row>
    <row r="1731" spans="1:22" x14ac:dyDescent="0.25">
      <c r="A1731" s="25">
        <v>1720</v>
      </c>
      <c r="B1731" s="23"/>
      <c r="C1731" s="14" t="s">
        <v>1169</v>
      </c>
      <c r="D1731" s="23"/>
      <c r="E1731" s="23">
        <f t="shared" si="120"/>
        <v>14200</v>
      </c>
      <c r="F1731" s="23" t="s">
        <v>37</v>
      </c>
      <c r="G1731" s="101">
        <v>10</v>
      </c>
      <c r="H1731" s="165">
        <f t="shared" si="121"/>
        <v>142000</v>
      </c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56"/>
    </row>
    <row r="1732" spans="1:22" x14ac:dyDescent="0.25">
      <c r="A1732" s="25">
        <v>1721</v>
      </c>
      <c r="B1732" s="23"/>
      <c r="C1732" s="14" t="s">
        <v>1170</v>
      </c>
      <c r="D1732" s="23"/>
      <c r="E1732" s="23">
        <f t="shared" si="120"/>
        <v>14200</v>
      </c>
      <c r="F1732" s="23" t="s">
        <v>37</v>
      </c>
      <c r="G1732" s="101">
        <v>7</v>
      </c>
      <c r="H1732" s="165">
        <f t="shared" si="121"/>
        <v>99400</v>
      </c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56"/>
    </row>
    <row r="1733" spans="1:22" x14ac:dyDescent="0.25">
      <c r="A1733" s="25">
        <v>1722</v>
      </c>
      <c r="B1733" s="23"/>
      <c r="C1733" s="14" t="s">
        <v>1171</v>
      </c>
      <c r="D1733" s="23"/>
      <c r="E1733" s="23">
        <f t="shared" si="120"/>
        <v>14200</v>
      </c>
      <c r="F1733" s="23" t="s">
        <v>37</v>
      </c>
      <c r="G1733" s="101">
        <v>7.2</v>
      </c>
      <c r="H1733" s="165">
        <f t="shared" si="121"/>
        <v>102240</v>
      </c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56"/>
    </row>
    <row r="1734" spans="1:22" x14ac:dyDescent="0.25">
      <c r="A1734" s="25">
        <v>1723</v>
      </c>
      <c r="B1734" s="23"/>
      <c r="C1734" s="14" t="s">
        <v>1172</v>
      </c>
      <c r="D1734" s="23"/>
      <c r="E1734" s="23">
        <f t="shared" si="120"/>
        <v>14200</v>
      </c>
      <c r="F1734" s="23" t="s">
        <v>37</v>
      </c>
      <c r="G1734" s="101">
        <v>11</v>
      </c>
      <c r="H1734" s="165">
        <f t="shared" si="121"/>
        <v>156200</v>
      </c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56"/>
    </row>
    <row r="1735" spans="1:22" x14ac:dyDescent="0.25">
      <c r="A1735" s="25">
        <v>1724</v>
      </c>
      <c r="B1735" s="23"/>
      <c r="C1735" s="14" t="s">
        <v>1160</v>
      </c>
      <c r="D1735" s="23"/>
      <c r="E1735" s="23">
        <f t="shared" si="120"/>
        <v>14200</v>
      </c>
      <c r="F1735" s="23" t="s">
        <v>37</v>
      </c>
      <c r="G1735" s="101">
        <v>0.56999999999999995</v>
      </c>
      <c r="H1735" s="165">
        <f t="shared" si="121"/>
        <v>8093.9999999999991</v>
      </c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56"/>
    </row>
    <row r="1736" spans="1:22" x14ac:dyDescent="0.25">
      <c r="A1736" s="25">
        <v>1725</v>
      </c>
      <c r="B1736" s="23"/>
      <c r="C1736" s="14" t="s">
        <v>1173</v>
      </c>
      <c r="D1736" s="23"/>
      <c r="E1736" s="23">
        <f t="shared" si="120"/>
        <v>14200</v>
      </c>
      <c r="F1736" s="23" t="s">
        <v>37</v>
      </c>
      <c r="G1736" s="101">
        <v>3.5</v>
      </c>
      <c r="H1736" s="165">
        <f t="shared" si="121"/>
        <v>49700</v>
      </c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56"/>
    </row>
    <row r="1737" spans="1:22" x14ac:dyDescent="0.25">
      <c r="A1737" s="25">
        <v>1726</v>
      </c>
      <c r="B1737" s="23"/>
      <c r="C1737" s="14" t="s">
        <v>829</v>
      </c>
      <c r="D1737" s="23"/>
      <c r="E1737" s="23">
        <f t="shared" si="120"/>
        <v>14200</v>
      </c>
      <c r="F1737" s="23" t="s">
        <v>37</v>
      </c>
      <c r="G1737" s="101">
        <v>65</v>
      </c>
      <c r="H1737" s="165">
        <f t="shared" si="121"/>
        <v>923000</v>
      </c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56"/>
    </row>
    <row r="1738" spans="1:22" x14ac:dyDescent="0.25">
      <c r="A1738" s="25">
        <v>1727</v>
      </c>
      <c r="B1738" s="23"/>
      <c r="C1738" s="14" t="s">
        <v>1174</v>
      </c>
      <c r="D1738" s="23"/>
      <c r="E1738" s="23">
        <f t="shared" si="120"/>
        <v>14200</v>
      </c>
      <c r="F1738" s="23" t="s">
        <v>37</v>
      </c>
      <c r="G1738" s="101">
        <v>14.5</v>
      </c>
      <c r="H1738" s="165">
        <f t="shared" si="121"/>
        <v>205900</v>
      </c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56"/>
    </row>
    <row r="1739" spans="1:22" x14ac:dyDescent="0.25">
      <c r="A1739" s="25">
        <v>1728</v>
      </c>
      <c r="B1739" s="23"/>
      <c r="C1739" s="14" t="s">
        <v>1161</v>
      </c>
      <c r="D1739" s="23"/>
      <c r="E1739" s="23">
        <f t="shared" si="120"/>
        <v>14200</v>
      </c>
      <c r="F1739" s="23" t="s">
        <v>37</v>
      </c>
      <c r="G1739" s="101">
        <v>2.15</v>
      </c>
      <c r="H1739" s="165">
        <f t="shared" si="121"/>
        <v>30530</v>
      </c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56"/>
    </row>
    <row r="1740" spans="1:22" x14ac:dyDescent="0.25">
      <c r="A1740" s="25">
        <v>1729</v>
      </c>
      <c r="B1740" s="23"/>
      <c r="C1740" s="14" t="s">
        <v>1175</v>
      </c>
      <c r="D1740" s="23"/>
      <c r="E1740" s="23">
        <f t="shared" si="120"/>
        <v>14200</v>
      </c>
      <c r="F1740" s="23" t="s">
        <v>37</v>
      </c>
      <c r="G1740" s="101">
        <v>35</v>
      </c>
      <c r="H1740" s="165">
        <f t="shared" si="121"/>
        <v>497000</v>
      </c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56"/>
    </row>
    <row r="1741" spans="1:22" x14ac:dyDescent="0.25">
      <c r="A1741" s="25">
        <v>1730</v>
      </c>
      <c r="B1741" s="23"/>
      <c r="C1741" s="14" t="s">
        <v>1176</v>
      </c>
      <c r="D1741" s="23"/>
      <c r="E1741" s="23">
        <f t="shared" si="120"/>
        <v>14200</v>
      </c>
      <c r="F1741" s="23" t="s">
        <v>37</v>
      </c>
      <c r="G1741" s="101">
        <v>6.25</v>
      </c>
      <c r="H1741" s="165">
        <f t="shared" si="121"/>
        <v>88750</v>
      </c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56"/>
    </row>
    <row r="1742" spans="1:22" x14ac:dyDescent="0.25">
      <c r="A1742" s="25">
        <v>1731</v>
      </c>
      <c r="B1742" s="23"/>
      <c r="C1742" s="14" t="s">
        <v>1167</v>
      </c>
      <c r="D1742" s="23"/>
      <c r="E1742" s="23">
        <f t="shared" si="120"/>
        <v>14200</v>
      </c>
      <c r="F1742" s="23" t="s">
        <v>37</v>
      </c>
      <c r="G1742" s="101">
        <v>6.2438309299999997</v>
      </c>
      <c r="H1742" s="165">
        <f t="shared" si="121"/>
        <v>88662.399206000002</v>
      </c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56"/>
    </row>
    <row r="1743" spans="1:22" x14ac:dyDescent="0.25">
      <c r="A1743" s="25">
        <v>1732</v>
      </c>
      <c r="B1743" s="23"/>
      <c r="C1743" s="14" t="s">
        <v>1177</v>
      </c>
      <c r="D1743" s="23"/>
      <c r="E1743" s="23">
        <f t="shared" si="120"/>
        <v>14200</v>
      </c>
      <c r="F1743" s="23" t="s">
        <v>37</v>
      </c>
      <c r="G1743" s="101">
        <v>120.074017</v>
      </c>
      <c r="H1743" s="165">
        <f t="shared" si="121"/>
        <v>1705051.0414</v>
      </c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56"/>
    </row>
    <row r="1744" spans="1:22" x14ac:dyDescent="0.25">
      <c r="A1744" s="25">
        <v>1733</v>
      </c>
      <c r="B1744" s="23"/>
      <c r="C1744" s="14"/>
      <c r="D1744" s="23"/>
      <c r="E1744" s="84"/>
      <c r="F1744" s="23"/>
      <c r="G1744" s="165"/>
      <c r="H1744" s="165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56"/>
    </row>
    <row r="1745" spans="1:22" ht="30" x14ac:dyDescent="0.25">
      <c r="A1745" s="25">
        <v>1734</v>
      </c>
      <c r="B1745" s="89" t="s">
        <v>121</v>
      </c>
      <c r="C1745" s="90" t="s">
        <v>132</v>
      </c>
      <c r="D1745" s="89" t="s">
        <v>27</v>
      </c>
      <c r="E1745" s="89"/>
      <c r="F1745" s="89"/>
      <c r="G1745" s="163"/>
      <c r="H1745" s="167">
        <v>8508000</v>
      </c>
      <c r="I1745" s="89" t="s">
        <v>52</v>
      </c>
      <c r="J1745" s="60">
        <v>1</v>
      </c>
      <c r="K1745" s="60">
        <v>1</v>
      </c>
      <c r="L1745" s="60">
        <v>1</v>
      </c>
      <c r="M1745" s="60">
        <v>1</v>
      </c>
      <c r="N1745" s="60">
        <v>1</v>
      </c>
      <c r="O1745" s="60">
        <v>1</v>
      </c>
      <c r="P1745" s="60">
        <v>1</v>
      </c>
      <c r="Q1745" s="60">
        <v>1</v>
      </c>
      <c r="R1745" s="60">
        <v>1</v>
      </c>
      <c r="S1745" s="60">
        <v>1</v>
      </c>
      <c r="T1745" s="60">
        <v>1</v>
      </c>
      <c r="U1745" s="60">
        <v>1</v>
      </c>
      <c r="V1745" s="56"/>
    </row>
    <row r="1746" spans="1:22" x14ac:dyDescent="0.25">
      <c r="A1746" s="25">
        <v>1735</v>
      </c>
      <c r="B1746" s="23"/>
      <c r="C1746" s="14" t="s">
        <v>1178</v>
      </c>
      <c r="D1746" s="23"/>
      <c r="E1746" s="84">
        <v>3403</v>
      </c>
      <c r="F1746" s="23" t="s">
        <v>37</v>
      </c>
      <c r="G1746" s="165">
        <v>2500.1469291799999</v>
      </c>
      <c r="H1746" s="165">
        <f>G1746*E1746</f>
        <v>8507999.9999995399</v>
      </c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56"/>
    </row>
    <row r="1747" spans="1:22" x14ac:dyDescent="0.25">
      <c r="A1747" s="25">
        <v>1736</v>
      </c>
      <c r="B1747" s="23"/>
      <c r="C1747" s="14"/>
      <c r="D1747" s="23"/>
      <c r="E1747" s="84"/>
      <c r="F1747" s="23"/>
      <c r="G1747" s="165"/>
      <c r="H1747" s="165"/>
      <c r="I1747" s="66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56"/>
    </row>
    <row r="1748" spans="1:22" ht="45" x14ac:dyDescent="0.25">
      <c r="A1748" s="25">
        <v>1737</v>
      </c>
      <c r="B1748" s="89" t="s">
        <v>121</v>
      </c>
      <c r="C1748" s="90" t="s">
        <v>42</v>
      </c>
      <c r="D1748" s="89" t="s">
        <v>27</v>
      </c>
      <c r="E1748" s="89"/>
      <c r="F1748" s="89"/>
      <c r="G1748" s="163"/>
      <c r="H1748" s="167">
        <v>495820</v>
      </c>
      <c r="I1748" s="89" t="s">
        <v>52</v>
      </c>
      <c r="J1748" s="60"/>
      <c r="K1748" s="60"/>
      <c r="L1748" s="60"/>
      <c r="M1748" s="60">
        <v>1</v>
      </c>
      <c r="N1748" s="60"/>
      <c r="O1748" s="60"/>
      <c r="P1748" s="60"/>
      <c r="Q1748" s="60"/>
      <c r="R1748" s="60"/>
      <c r="S1748" s="60">
        <v>1</v>
      </c>
      <c r="T1748" s="60"/>
      <c r="U1748" s="60"/>
      <c r="V1748" s="56"/>
    </row>
    <row r="1749" spans="1:22" x14ac:dyDescent="0.25">
      <c r="A1749" s="25">
        <v>1738</v>
      </c>
      <c r="B1749" s="23"/>
      <c r="C1749" s="14" t="s">
        <v>131</v>
      </c>
      <c r="D1749" s="23"/>
      <c r="E1749" s="84"/>
      <c r="F1749" s="23"/>
      <c r="G1749" s="165"/>
      <c r="H1749" s="165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56"/>
    </row>
    <row r="1750" spans="1:22" x14ac:dyDescent="0.25">
      <c r="A1750" s="25">
        <v>1739</v>
      </c>
      <c r="B1750" s="23"/>
      <c r="C1750" s="51" t="s">
        <v>810</v>
      </c>
      <c r="D1750" s="23"/>
      <c r="E1750" s="84"/>
      <c r="F1750" s="23"/>
      <c r="G1750" s="165"/>
      <c r="H1750" s="165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56"/>
    </row>
    <row r="1751" spans="1:22" x14ac:dyDescent="0.25">
      <c r="A1751" s="25">
        <v>1740</v>
      </c>
      <c r="B1751" s="23"/>
      <c r="C1751" s="6" t="s">
        <v>811</v>
      </c>
      <c r="D1751" s="23"/>
      <c r="E1751" s="7">
        <v>242</v>
      </c>
      <c r="F1751" s="8" t="s">
        <v>37</v>
      </c>
      <c r="G1751" s="181">
        <v>155</v>
      </c>
      <c r="H1751" s="165">
        <f>G1751*E1751</f>
        <v>37510</v>
      </c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56"/>
    </row>
    <row r="1752" spans="1:22" x14ac:dyDescent="0.25">
      <c r="A1752" s="25">
        <v>1741</v>
      </c>
      <c r="B1752" s="23"/>
      <c r="C1752" s="6" t="s">
        <v>812</v>
      </c>
      <c r="D1752" s="23"/>
      <c r="E1752" s="7">
        <v>242</v>
      </c>
      <c r="F1752" s="8" t="s">
        <v>37</v>
      </c>
      <c r="G1752" s="181">
        <v>70</v>
      </c>
      <c r="H1752" s="165">
        <f t="shared" ref="H1752:H1755" si="122">G1752*E1752</f>
        <v>16940</v>
      </c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56"/>
    </row>
    <row r="1753" spans="1:22" x14ac:dyDescent="0.25">
      <c r="A1753" s="25">
        <v>1742</v>
      </c>
      <c r="B1753" s="23"/>
      <c r="C1753" s="6" t="s">
        <v>813</v>
      </c>
      <c r="D1753" s="23"/>
      <c r="E1753" s="7">
        <v>242</v>
      </c>
      <c r="F1753" s="8" t="s">
        <v>37</v>
      </c>
      <c r="G1753" s="181">
        <v>70</v>
      </c>
      <c r="H1753" s="165">
        <f t="shared" si="122"/>
        <v>16940</v>
      </c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56"/>
    </row>
    <row r="1754" spans="1:22" x14ac:dyDescent="0.25">
      <c r="A1754" s="25">
        <v>1743</v>
      </c>
      <c r="B1754" s="23"/>
      <c r="C1754" s="14" t="s">
        <v>814</v>
      </c>
      <c r="D1754" s="23"/>
      <c r="E1754" s="84"/>
      <c r="F1754" s="23"/>
      <c r="G1754" s="165"/>
      <c r="H1754" s="165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56"/>
    </row>
    <row r="1755" spans="1:22" x14ac:dyDescent="0.25">
      <c r="A1755" s="25">
        <v>1744</v>
      </c>
      <c r="B1755" s="23"/>
      <c r="C1755" s="1" t="s">
        <v>815</v>
      </c>
      <c r="D1755" s="23"/>
      <c r="E1755" s="7">
        <v>242</v>
      </c>
      <c r="F1755" s="8" t="s">
        <v>37</v>
      </c>
      <c r="G1755" s="183">
        <v>225</v>
      </c>
      <c r="H1755" s="165">
        <f t="shared" si="122"/>
        <v>54450</v>
      </c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56"/>
    </row>
    <row r="1756" spans="1:22" x14ac:dyDescent="0.25">
      <c r="A1756" s="25">
        <v>1745</v>
      </c>
      <c r="B1756" s="23"/>
      <c r="C1756" s="4" t="s">
        <v>816</v>
      </c>
      <c r="D1756" s="23"/>
      <c r="E1756" s="36"/>
      <c r="F1756" s="36"/>
      <c r="G1756" s="183"/>
      <c r="H1756" s="165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56"/>
    </row>
    <row r="1757" spans="1:22" x14ac:dyDescent="0.25">
      <c r="A1757" s="25">
        <v>1746</v>
      </c>
      <c r="B1757" s="23"/>
      <c r="C1757" s="1" t="s">
        <v>817</v>
      </c>
      <c r="D1757" s="23"/>
      <c r="E1757" s="7">
        <v>242</v>
      </c>
      <c r="F1757" s="8" t="s">
        <v>37</v>
      </c>
      <c r="G1757" s="181">
        <v>12</v>
      </c>
      <c r="H1757" s="165">
        <f>G1757*E1757</f>
        <v>2904</v>
      </c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56"/>
    </row>
    <row r="1758" spans="1:22" x14ac:dyDescent="0.25">
      <c r="A1758" s="25">
        <v>1747</v>
      </c>
      <c r="B1758" s="23"/>
      <c r="C1758" s="1" t="s">
        <v>818</v>
      </c>
      <c r="D1758" s="23"/>
      <c r="E1758" s="7">
        <v>242</v>
      </c>
      <c r="F1758" s="8" t="s">
        <v>37</v>
      </c>
      <c r="G1758" s="181">
        <v>9</v>
      </c>
      <c r="H1758" s="165">
        <f t="shared" ref="H1758:H1768" si="123">G1758*E1758</f>
        <v>2178</v>
      </c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56"/>
    </row>
    <row r="1759" spans="1:22" x14ac:dyDescent="0.25">
      <c r="A1759" s="25">
        <v>1748</v>
      </c>
      <c r="B1759" s="23"/>
      <c r="C1759" s="1" t="s">
        <v>819</v>
      </c>
      <c r="D1759" s="23"/>
      <c r="E1759" s="7">
        <v>242</v>
      </c>
      <c r="F1759" s="8" t="s">
        <v>37</v>
      </c>
      <c r="G1759" s="181">
        <v>8</v>
      </c>
      <c r="H1759" s="165">
        <f t="shared" si="123"/>
        <v>1936</v>
      </c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56"/>
    </row>
    <row r="1760" spans="1:22" x14ac:dyDescent="0.25">
      <c r="A1760" s="25">
        <v>1749</v>
      </c>
      <c r="B1760" s="23"/>
      <c r="C1760" s="1" t="s">
        <v>820</v>
      </c>
      <c r="D1760" s="23"/>
      <c r="E1760" s="7">
        <v>242</v>
      </c>
      <c r="F1760" s="8" t="s">
        <v>37</v>
      </c>
      <c r="G1760" s="181">
        <v>12</v>
      </c>
      <c r="H1760" s="165">
        <f t="shared" si="123"/>
        <v>2904</v>
      </c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56"/>
    </row>
    <row r="1761" spans="1:22" x14ac:dyDescent="0.25">
      <c r="A1761" s="25">
        <v>1750</v>
      </c>
      <c r="B1761" s="23"/>
      <c r="C1761" s="1" t="s">
        <v>827</v>
      </c>
      <c r="D1761" s="23"/>
      <c r="E1761" s="7">
        <v>242</v>
      </c>
      <c r="F1761" s="8" t="s">
        <v>37</v>
      </c>
      <c r="G1761" s="181">
        <v>5</v>
      </c>
      <c r="H1761" s="165">
        <f t="shared" si="123"/>
        <v>1210</v>
      </c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56"/>
    </row>
    <row r="1762" spans="1:22" x14ac:dyDescent="0.25">
      <c r="A1762" s="25">
        <v>1751</v>
      </c>
      <c r="B1762" s="23"/>
      <c r="C1762" s="1" t="s">
        <v>828</v>
      </c>
      <c r="D1762" s="23"/>
      <c r="E1762" s="7">
        <v>242</v>
      </c>
      <c r="F1762" s="8" t="s">
        <v>37</v>
      </c>
      <c r="G1762" s="181">
        <v>5</v>
      </c>
      <c r="H1762" s="165">
        <f t="shared" si="123"/>
        <v>1210</v>
      </c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56"/>
    </row>
    <row r="1763" spans="1:22" x14ac:dyDescent="0.25">
      <c r="A1763" s="25">
        <v>1752</v>
      </c>
      <c r="B1763" s="23"/>
      <c r="C1763" s="1" t="s">
        <v>829</v>
      </c>
      <c r="D1763" s="23"/>
      <c r="E1763" s="7">
        <v>242</v>
      </c>
      <c r="F1763" s="8" t="s">
        <v>37</v>
      </c>
      <c r="G1763" s="181">
        <v>66</v>
      </c>
      <c r="H1763" s="165">
        <f t="shared" si="123"/>
        <v>15972</v>
      </c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56"/>
    </row>
    <row r="1764" spans="1:22" x14ac:dyDescent="0.25">
      <c r="A1764" s="25">
        <v>1753</v>
      </c>
      <c r="B1764" s="23"/>
      <c r="C1764" s="1" t="s">
        <v>830</v>
      </c>
      <c r="D1764" s="23"/>
      <c r="E1764" s="7">
        <v>242</v>
      </c>
      <c r="F1764" s="8" t="s">
        <v>37</v>
      </c>
      <c r="G1764" s="181">
        <v>19</v>
      </c>
      <c r="H1764" s="165">
        <f t="shared" si="123"/>
        <v>4598</v>
      </c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56"/>
    </row>
    <row r="1765" spans="1:22" x14ac:dyDescent="0.25">
      <c r="A1765" s="25">
        <v>1754</v>
      </c>
      <c r="B1765" s="23"/>
      <c r="C1765" s="1" t="s">
        <v>831</v>
      </c>
      <c r="D1765" s="23"/>
      <c r="E1765" s="7">
        <v>242</v>
      </c>
      <c r="F1765" s="8" t="s">
        <v>37</v>
      </c>
      <c r="G1765" s="181">
        <v>5</v>
      </c>
      <c r="H1765" s="165">
        <f t="shared" si="123"/>
        <v>1210</v>
      </c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56"/>
    </row>
    <row r="1766" spans="1:22" x14ac:dyDescent="0.25">
      <c r="A1766" s="25">
        <v>1755</v>
      </c>
      <c r="B1766" s="23"/>
      <c r="C1766" s="1" t="s">
        <v>832</v>
      </c>
      <c r="D1766" s="23"/>
      <c r="E1766" s="7">
        <v>242</v>
      </c>
      <c r="F1766" s="8" t="s">
        <v>37</v>
      </c>
      <c r="G1766" s="181">
        <v>45</v>
      </c>
      <c r="H1766" s="165">
        <f t="shared" si="123"/>
        <v>10890</v>
      </c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56"/>
    </row>
    <row r="1767" spans="1:22" x14ac:dyDescent="0.25">
      <c r="A1767" s="25">
        <v>1756</v>
      </c>
      <c r="B1767" s="23"/>
      <c r="C1767" s="1" t="s">
        <v>833</v>
      </c>
      <c r="D1767" s="23"/>
      <c r="E1767" s="7">
        <v>242</v>
      </c>
      <c r="F1767" s="8" t="s">
        <v>37</v>
      </c>
      <c r="G1767" s="181">
        <v>7</v>
      </c>
      <c r="H1767" s="165">
        <f t="shared" si="123"/>
        <v>1694</v>
      </c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56"/>
    </row>
    <row r="1768" spans="1:22" x14ac:dyDescent="0.25">
      <c r="A1768" s="25">
        <v>1757</v>
      </c>
      <c r="B1768" s="23"/>
      <c r="C1768" s="1" t="s">
        <v>834</v>
      </c>
      <c r="D1768" s="23"/>
      <c r="E1768" s="7">
        <v>242</v>
      </c>
      <c r="F1768" s="8" t="s">
        <v>37</v>
      </c>
      <c r="G1768" s="181">
        <v>7</v>
      </c>
      <c r="H1768" s="165">
        <f t="shared" si="123"/>
        <v>1694</v>
      </c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56"/>
    </row>
    <row r="1769" spans="1:22" x14ac:dyDescent="0.25">
      <c r="A1769" s="25">
        <v>1758</v>
      </c>
      <c r="B1769" s="23"/>
      <c r="C1769" s="14" t="s">
        <v>841</v>
      </c>
      <c r="D1769" s="23"/>
      <c r="E1769" s="84"/>
      <c r="F1769" s="23"/>
      <c r="G1769" s="183"/>
      <c r="H1769" s="165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56"/>
    </row>
    <row r="1770" spans="1:22" x14ac:dyDescent="0.25">
      <c r="A1770" s="25">
        <v>1759</v>
      </c>
      <c r="B1770" s="23"/>
      <c r="C1770" s="51" t="s">
        <v>835</v>
      </c>
      <c r="D1770" s="23"/>
      <c r="E1770" s="7">
        <v>242</v>
      </c>
      <c r="F1770" s="7" t="s">
        <v>37</v>
      </c>
      <c r="G1770" s="183">
        <v>165</v>
      </c>
      <c r="H1770" s="165">
        <f>G1770*E1770</f>
        <v>39930</v>
      </c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56"/>
    </row>
    <row r="1771" spans="1:22" x14ac:dyDescent="0.25">
      <c r="A1771" s="25">
        <v>1760</v>
      </c>
      <c r="B1771" s="23"/>
      <c r="C1771" s="51" t="s">
        <v>836</v>
      </c>
      <c r="D1771" s="23"/>
      <c r="E1771" s="7">
        <v>242</v>
      </c>
      <c r="F1771" s="7" t="s">
        <v>37</v>
      </c>
      <c r="G1771" s="183">
        <v>262.84300000000002</v>
      </c>
      <c r="H1771" s="165">
        <v>63608</v>
      </c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56"/>
    </row>
    <row r="1772" spans="1:22" x14ac:dyDescent="0.25">
      <c r="A1772" s="25">
        <v>1761</v>
      </c>
      <c r="B1772" s="23"/>
      <c r="C1772" s="51" t="s">
        <v>837</v>
      </c>
      <c r="D1772" s="23"/>
      <c r="E1772" s="7">
        <v>242</v>
      </c>
      <c r="F1772" s="7" t="s">
        <v>37</v>
      </c>
      <c r="G1772" s="183">
        <v>236</v>
      </c>
      <c r="H1772" s="165">
        <f t="shared" ref="H1772:H1777" si="124">G1772*E1772</f>
        <v>57112</v>
      </c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56"/>
    </row>
    <row r="1773" spans="1:22" x14ac:dyDescent="0.25">
      <c r="A1773" s="25">
        <v>1762</v>
      </c>
      <c r="B1773" s="23"/>
      <c r="C1773" s="51" t="s">
        <v>838</v>
      </c>
      <c r="D1773" s="23"/>
      <c r="E1773" s="7">
        <v>242</v>
      </c>
      <c r="F1773" s="7" t="s">
        <v>37</v>
      </c>
      <c r="G1773" s="183">
        <v>120</v>
      </c>
      <c r="H1773" s="165">
        <f t="shared" si="124"/>
        <v>29040</v>
      </c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56"/>
    </row>
    <row r="1774" spans="1:22" x14ac:dyDescent="0.25">
      <c r="A1774" s="25">
        <v>1763</v>
      </c>
      <c r="B1774" s="23"/>
      <c r="C1774" s="51" t="s">
        <v>839</v>
      </c>
      <c r="D1774" s="23"/>
      <c r="E1774" s="7">
        <v>242</v>
      </c>
      <c r="F1774" s="7" t="s">
        <v>37</v>
      </c>
      <c r="G1774" s="183">
        <v>100</v>
      </c>
      <c r="H1774" s="165">
        <f t="shared" si="124"/>
        <v>24200</v>
      </c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56"/>
    </row>
    <row r="1775" spans="1:22" x14ac:dyDescent="0.25">
      <c r="A1775" s="25">
        <v>1764</v>
      </c>
      <c r="B1775" s="23"/>
      <c r="C1775" s="1" t="s">
        <v>840</v>
      </c>
      <c r="D1775" s="23"/>
      <c r="E1775" s="7">
        <v>242</v>
      </c>
      <c r="F1775" s="7" t="s">
        <v>37</v>
      </c>
      <c r="G1775" s="183">
        <v>250</v>
      </c>
      <c r="H1775" s="165">
        <f t="shared" si="124"/>
        <v>60500</v>
      </c>
      <c r="I1775" s="212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56"/>
    </row>
    <row r="1776" spans="1:22" x14ac:dyDescent="0.25">
      <c r="A1776" s="25">
        <v>1765</v>
      </c>
      <c r="B1776" s="23"/>
      <c r="C1776" s="14" t="s">
        <v>821</v>
      </c>
      <c r="D1776" s="23"/>
      <c r="E1776" s="7">
        <v>242</v>
      </c>
      <c r="F1776" s="7" t="s">
        <v>37</v>
      </c>
      <c r="G1776" s="116">
        <v>55</v>
      </c>
      <c r="H1776" s="165">
        <f t="shared" si="124"/>
        <v>13310</v>
      </c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56"/>
    </row>
    <row r="1777" spans="1:22" x14ac:dyDescent="0.25">
      <c r="A1777" s="25">
        <v>1766</v>
      </c>
      <c r="B1777" s="23"/>
      <c r="C1777" s="39" t="s">
        <v>802</v>
      </c>
      <c r="D1777" s="8"/>
      <c r="E1777" s="7">
        <v>242</v>
      </c>
      <c r="F1777" s="7" t="s">
        <v>37</v>
      </c>
      <c r="G1777" s="165">
        <v>140</v>
      </c>
      <c r="H1777" s="165">
        <f t="shared" si="124"/>
        <v>33880</v>
      </c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56"/>
    </row>
    <row r="1778" spans="1:22" x14ac:dyDescent="0.25">
      <c r="A1778" s="25">
        <v>1767</v>
      </c>
      <c r="B1778" s="23"/>
      <c r="C1778" s="14"/>
      <c r="D1778" s="23"/>
      <c r="E1778" s="84"/>
      <c r="F1778" s="23"/>
      <c r="G1778" s="165"/>
      <c r="H1778" s="165"/>
      <c r="I1778" s="66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56"/>
    </row>
    <row r="1779" spans="1:22" ht="30" x14ac:dyDescent="0.25">
      <c r="A1779" s="25">
        <v>1768</v>
      </c>
      <c r="B1779" s="89" t="s">
        <v>121</v>
      </c>
      <c r="C1779" s="90" t="s">
        <v>35</v>
      </c>
      <c r="D1779" s="89" t="s">
        <v>27</v>
      </c>
      <c r="E1779" s="89"/>
      <c r="F1779" s="89"/>
      <c r="G1779" s="163"/>
      <c r="H1779" s="167">
        <v>10607024.25</v>
      </c>
      <c r="I1779" s="89" t="s">
        <v>52</v>
      </c>
      <c r="J1779" s="60"/>
      <c r="K1779" s="60"/>
      <c r="L1779" s="60"/>
      <c r="M1779" s="60">
        <v>2</v>
      </c>
      <c r="N1779" s="60">
        <v>2</v>
      </c>
      <c r="O1779" s="60">
        <v>2</v>
      </c>
      <c r="P1779" s="60">
        <v>2</v>
      </c>
      <c r="Q1779" s="60">
        <v>2</v>
      </c>
      <c r="R1779" s="60">
        <v>2</v>
      </c>
      <c r="S1779" s="60"/>
      <c r="T1779" s="60"/>
      <c r="U1779" s="60"/>
      <c r="V1779" s="56"/>
    </row>
    <row r="1780" spans="1:22" x14ac:dyDescent="0.25">
      <c r="A1780" s="25">
        <v>1769</v>
      </c>
      <c r="B1780" s="23"/>
      <c r="C1780" s="51" t="s">
        <v>810</v>
      </c>
      <c r="D1780" s="23"/>
      <c r="E1780" s="84"/>
      <c r="F1780" s="23"/>
      <c r="G1780" s="165"/>
      <c r="H1780" s="165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56"/>
    </row>
    <row r="1781" spans="1:22" x14ac:dyDescent="0.25">
      <c r="A1781" s="25">
        <v>1770</v>
      </c>
      <c r="B1781" s="23"/>
      <c r="C1781" s="6" t="s">
        <v>811</v>
      </c>
      <c r="D1781" s="23"/>
      <c r="E1781" s="23">
        <v>5277</v>
      </c>
      <c r="F1781" s="8" t="s">
        <v>37</v>
      </c>
      <c r="G1781" s="181">
        <v>155</v>
      </c>
      <c r="H1781" s="165">
        <f>G1781*E1781</f>
        <v>817935</v>
      </c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56"/>
    </row>
    <row r="1782" spans="1:22" x14ac:dyDescent="0.25">
      <c r="A1782" s="25">
        <v>1771</v>
      </c>
      <c r="B1782" s="23"/>
      <c r="C1782" s="6" t="s">
        <v>812</v>
      </c>
      <c r="D1782" s="23"/>
      <c r="E1782" s="23">
        <v>5277</v>
      </c>
      <c r="F1782" s="8" t="s">
        <v>37</v>
      </c>
      <c r="G1782" s="181">
        <v>70</v>
      </c>
      <c r="H1782" s="165">
        <f t="shared" ref="H1782:H1783" si="125">G1782*E1782</f>
        <v>369390</v>
      </c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56"/>
    </row>
    <row r="1783" spans="1:22" x14ac:dyDescent="0.25">
      <c r="A1783" s="25">
        <v>1772</v>
      </c>
      <c r="B1783" s="23"/>
      <c r="C1783" s="6" t="s">
        <v>813</v>
      </c>
      <c r="D1783" s="23"/>
      <c r="E1783" s="23">
        <v>5277</v>
      </c>
      <c r="F1783" s="8" t="s">
        <v>37</v>
      </c>
      <c r="G1783" s="181">
        <v>70</v>
      </c>
      <c r="H1783" s="165">
        <f t="shared" si="125"/>
        <v>369390</v>
      </c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56"/>
    </row>
    <row r="1784" spans="1:22" x14ac:dyDescent="0.25">
      <c r="A1784" s="25">
        <v>1773</v>
      </c>
      <c r="B1784" s="23"/>
      <c r="C1784" s="14" t="s">
        <v>814</v>
      </c>
      <c r="D1784" s="23"/>
      <c r="E1784" s="84"/>
      <c r="F1784" s="23"/>
      <c r="G1784" s="165"/>
      <c r="H1784" s="165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56"/>
    </row>
    <row r="1785" spans="1:22" x14ac:dyDescent="0.25">
      <c r="A1785" s="25">
        <v>1774</v>
      </c>
      <c r="B1785" s="23"/>
      <c r="C1785" s="1" t="s">
        <v>815</v>
      </c>
      <c r="D1785" s="23"/>
      <c r="E1785" s="23">
        <v>5277</v>
      </c>
      <c r="F1785" s="8" t="s">
        <v>37</v>
      </c>
      <c r="G1785" s="183">
        <v>225</v>
      </c>
      <c r="H1785" s="165">
        <f>G1785*E1785</f>
        <v>1187325</v>
      </c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56"/>
    </row>
    <row r="1786" spans="1:22" x14ac:dyDescent="0.25">
      <c r="A1786" s="25">
        <v>1775</v>
      </c>
      <c r="B1786" s="23"/>
      <c r="C1786" s="4" t="s">
        <v>816</v>
      </c>
      <c r="D1786" s="23"/>
      <c r="E1786" s="36"/>
      <c r="F1786" s="36"/>
      <c r="G1786" s="183"/>
      <c r="H1786" s="165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56"/>
    </row>
    <row r="1787" spans="1:22" x14ac:dyDescent="0.25">
      <c r="A1787" s="25">
        <v>1776</v>
      </c>
      <c r="B1787" s="23"/>
      <c r="C1787" s="1" t="s">
        <v>817</v>
      </c>
      <c r="D1787" s="23"/>
      <c r="E1787" s="23">
        <v>5277</v>
      </c>
      <c r="F1787" s="8" t="s">
        <v>37</v>
      </c>
      <c r="G1787" s="181">
        <v>12</v>
      </c>
      <c r="H1787" s="165">
        <f>G1787*E1787</f>
        <v>63324</v>
      </c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56"/>
    </row>
    <row r="1788" spans="1:22" x14ac:dyDescent="0.25">
      <c r="A1788" s="25">
        <v>1777</v>
      </c>
      <c r="B1788" s="23"/>
      <c r="C1788" s="1" t="s">
        <v>818</v>
      </c>
      <c r="D1788" s="23"/>
      <c r="E1788" s="23">
        <v>5277</v>
      </c>
      <c r="F1788" s="8" t="s">
        <v>37</v>
      </c>
      <c r="G1788" s="181">
        <v>9</v>
      </c>
      <c r="H1788" s="165">
        <f t="shared" ref="H1788:H1798" si="126">G1788*E1788</f>
        <v>47493</v>
      </c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56"/>
    </row>
    <row r="1789" spans="1:22" x14ac:dyDescent="0.25">
      <c r="A1789" s="25">
        <v>1778</v>
      </c>
      <c r="B1789" s="23"/>
      <c r="C1789" s="1" t="s">
        <v>819</v>
      </c>
      <c r="D1789" s="23"/>
      <c r="E1789" s="23">
        <v>5277</v>
      </c>
      <c r="F1789" s="8" t="s">
        <v>37</v>
      </c>
      <c r="G1789" s="181">
        <v>8</v>
      </c>
      <c r="H1789" s="165">
        <f t="shared" si="126"/>
        <v>42216</v>
      </c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56"/>
    </row>
    <row r="1790" spans="1:22" x14ac:dyDescent="0.25">
      <c r="A1790" s="25">
        <v>1779</v>
      </c>
      <c r="B1790" s="23"/>
      <c r="C1790" s="1" t="s">
        <v>820</v>
      </c>
      <c r="D1790" s="23"/>
      <c r="E1790" s="23">
        <v>5277</v>
      </c>
      <c r="F1790" s="8" t="s">
        <v>37</v>
      </c>
      <c r="G1790" s="181">
        <v>12</v>
      </c>
      <c r="H1790" s="165">
        <f t="shared" si="126"/>
        <v>63324</v>
      </c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56"/>
    </row>
    <row r="1791" spans="1:22" x14ac:dyDescent="0.25">
      <c r="A1791" s="25">
        <v>1780</v>
      </c>
      <c r="B1791" s="23"/>
      <c r="C1791" s="1" t="s">
        <v>827</v>
      </c>
      <c r="D1791" s="23"/>
      <c r="E1791" s="23">
        <v>5277</v>
      </c>
      <c r="F1791" s="8" t="s">
        <v>37</v>
      </c>
      <c r="G1791" s="181">
        <v>5</v>
      </c>
      <c r="H1791" s="165">
        <f t="shared" si="126"/>
        <v>26385</v>
      </c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56"/>
    </row>
    <row r="1792" spans="1:22" x14ac:dyDescent="0.25">
      <c r="A1792" s="25">
        <v>1781</v>
      </c>
      <c r="B1792" s="23"/>
      <c r="C1792" s="1" t="s">
        <v>828</v>
      </c>
      <c r="D1792" s="23"/>
      <c r="E1792" s="23">
        <v>5277</v>
      </c>
      <c r="F1792" s="8" t="s">
        <v>37</v>
      </c>
      <c r="G1792" s="181">
        <v>5</v>
      </c>
      <c r="H1792" s="165">
        <f t="shared" si="126"/>
        <v>26385</v>
      </c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56"/>
    </row>
    <row r="1793" spans="1:22" x14ac:dyDescent="0.25">
      <c r="A1793" s="25">
        <v>1782</v>
      </c>
      <c r="B1793" s="23"/>
      <c r="C1793" s="1" t="s">
        <v>829</v>
      </c>
      <c r="D1793" s="23"/>
      <c r="E1793" s="23">
        <v>5277</v>
      </c>
      <c r="F1793" s="8" t="s">
        <v>37</v>
      </c>
      <c r="G1793" s="181">
        <v>66</v>
      </c>
      <c r="H1793" s="165">
        <f t="shared" si="126"/>
        <v>348282</v>
      </c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56"/>
    </row>
    <row r="1794" spans="1:22" x14ac:dyDescent="0.25">
      <c r="A1794" s="25">
        <v>1783</v>
      </c>
      <c r="B1794" s="23"/>
      <c r="C1794" s="1" t="s">
        <v>830</v>
      </c>
      <c r="D1794" s="23"/>
      <c r="E1794" s="23">
        <v>5277</v>
      </c>
      <c r="F1794" s="8" t="s">
        <v>37</v>
      </c>
      <c r="G1794" s="181">
        <v>19</v>
      </c>
      <c r="H1794" s="165">
        <f t="shared" si="126"/>
        <v>100263</v>
      </c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56"/>
    </row>
    <row r="1795" spans="1:22" x14ac:dyDescent="0.25">
      <c r="A1795" s="25">
        <v>1784</v>
      </c>
      <c r="B1795" s="23"/>
      <c r="C1795" s="1" t="s">
        <v>831</v>
      </c>
      <c r="D1795" s="23"/>
      <c r="E1795" s="23">
        <v>5277</v>
      </c>
      <c r="F1795" s="8" t="s">
        <v>37</v>
      </c>
      <c r="G1795" s="181">
        <v>5</v>
      </c>
      <c r="H1795" s="165">
        <f t="shared" si="126"/>
        <v>26385</v>
      </c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56"/>
    </row>
    <row r="1796" spans="1:22" x14ac:dyDescent="0.25">
      <c r="A1796" s="25">
        <v>1785</v>
      </c>
      <c r="B1796" s="23"/>
      <c r="C1796" s="1" t="s">
        <v>832</v>
      </c>
      <c r="D1796" s="23"/>
      <c r="E1796" s="23">
        <v>5277</v>
      </c>
      <c r="F1796" s="8" t="s">
        <v>37</v>
      </c>
      <c r="G1796" s="181">
        <v>45</v>
      </c>
      <c r="H1796" s="165">
        <f t="shared" si="126"/>
        <v>237465</v>
      </c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56"/>
    </row>
    <row r="1797" spans="1:22" x14ac:dyDescent="0.25">
      <c r="A1797" s="25">
        <v>1786</v>
      </c>
      <c r="B1797" s="23"/>
      <c r="C1797" s="1" t="s">
        <v>833</v>
      </c>
      <c r="D1797" s="23"/>
      <c r="E1797" s="23">
        <v>5277</v>
      </c>
      <c r="F1797" s="8" t="s">
        <v>37</v>
      </c>
      <c r="G1797" s="181">
        <v>7</v>
      </c>
      <c r="H1797" s="165">
        <f t="shared" si="126"/>
        <v>36939</v>
      </c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56"/>
    </row>
    <row r="1798" spans="1:22" x14ac:dyDescent="0.25">
      <c r="A1798" s="25">
        <v>1787</v>
      </c>
      <c r="B1798" s="23"/>
      <c r="C1798" s="1" t="s">
        <v>834</v>
      </c>
      <c r="D1798" s="23"/>
      <c r="E1798" s="23">
        <v>5277</v>
      </c>
      <c r="F1798" s="8" t="s">
        <v>37</v>
      </c>
      <c r="G1798" s="181">
        <v>7</v>
      </c>
      <c r="H1798" s="165">
        <f t="shared" si="126"/>
        <v>36939</v>
      </c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56"/>
    </row>
    <row r="1799" spans="1:22" x14ac:dyDescent="0.25">
      <c r="A1799" s="25">
        <v>1788</v>
      </c>
      <c r="B1799" s="23"/>
      <c r="C1799" s="14" t="s">
        <v>841</v>
      </c>
      <c r="D1799" s="23"/>
      <c r="E1799" s="84"/>
      <c r="F1799" s="23"/>
      <c r="G1799" s="165"/>
      <c r="H1799" s="165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56"/>
    </row>
    <row r="1800" spans="1:22" x14ac:dyDescent="0.25">
      <c r="A1800" s="25">
        <v>1789</v>
      </c>
      <c r="B1800" s="23"/>
      <c r="C1800" s="51" t="s">
        <v>835</v>
      </c>
      <c r="D1800" s="23"/>
      <c r="E1800" s="23">
        <v>5277</v>
      </c>
      <c r="F1800" s="7" t="s">
        <v>37</v>
      </c>
      <c r="G1800" s="183">
        <v>165</v>
      </c>
      <c r="H1800" s="165">
        <f>G1800*E1800</f>
        <v>870705</v>
      </c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56"/>
    </row>
    <row r="1801" spans="1:22" x14ac:dyDescent="0.25">
      <c r="A1801" s="25">
        <v>1790</v>
      </c>
      <c r="B1801" s="23"/>
      <c r="C1801" s="51" t="s">
        <v>836</v>
      </c>
      <c r="D1801" s="23"/>
      <c r="E1801" s="23">
        <v>5277</v>
      </c>
      <c r="F1801" s="7" t="s">
        <v>37</v>
      </c>
      <c r="G1801" s="183">
        <v>266</v>
      </c>
      <c r="H1801" s="165">
        <f t="shared" ref="H1801:H1805" si="127">G1801*E1801</f>
        <v>1403682</v>
      </c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56"/>
    </row>
    <row r="1802" spans="1:22" x14ac:dyDescent="0.25">
      <c r="A1802" s="25">
        <v>1791</v>
      </c>
      <c r="B1802" s="23"/>
      <c r="C1802" s="51" t="s">
        <v>837</v>
      </c>
      <c r="D1802" s="23"/>
      <c r="E1802" s="23">
        <v>5277</v>
      </c>
      <c r="F1802" s="7" t="s">
        <v>37</v>
      </c>
      <c r="G1802" s="183">
        <v>236</v>
      </c>
      <c r="H1802" s="165">
        <f t="shared" si="127"/>
        <v>1245372</v>
      </c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56"/>
    </row>
    <row r="1803" spans="1:22" x14ac:dyDescent="0.25">
      <c r="A1803" s="25">
        <v>1792</v>
      </c>
      <c r="B1803" s="23"/>
      <c r="C1803" s="51" t="s">
        <v>838</v>
      </c>
      <c r="D1803" s="23"/>
      <c r="E1803" s="23">
        <v>5277</v>
      </c>
      <c r="F1803" s="7" t="s">
        <v>37</v>
      </c>
      <c r="G1803" s="183">
        <v>120</v>
      </c>
      <c r="H1803" s="165">
        <f t="shared" si="127"/>
        <v>633240</v>
      </c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56"/>
    </row>
    <row r="1804" spans="1:22" x14ac:dyDescent="0.25">
      <c r="A1804" s="25">
        <v>1793</v>
      </c>
      <c r="B1804" s="23"/>
      <c r="C1804" s="51" t="s">
        <v>839</v>
      </c>
      <c r="D1804" s="23"/>
      <c r="E1804" s="23">
        <v>5277</v>
      </c>
      <c r="F1804" s="7" t="s">
        <v>37</v>
      </c>
      <c r="G1804" s="183">
        <v>100</v>
      </c>
      <c r="H1804" s="165">
        <f t="shared" si="127"/>
        <v>527700</v>
      </c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56"/>
    </row>
    <row r="1805" spans="1:22" x14ac:dyDescent="0.25">
      <c r="A1805" s="25">
        <v>1794</v>
      </c>
      <c r="B1805" s="23"/>
      <c r="C1805" s="1" t="s">
        <v>840</v>
      </c>
      <c r="D1805" s="23"/>
      <c r="E1805" s="23">
        <v>5277</v>
      </c>
      <c r="F1805" s="7" t="s">
        <v>37</v>
      </c>
      <c r="G1805" s="183">
        <v>250</v>
      </c>
      <c r="H1805" s="165">
        <f t="shared" si="127"/>
        <v>1319250</v>
      </c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56"/>
    </row>
    <row r="1806" spans="1:22" x14ac:dyDescent="0.25">
      <c r="A1806" s="25">
        <v>1795</v>
      </c>
      <c r="B1806" s="23"/>
      <c r="C1806" s="14" t="s">
        <v>821</v>
      </c>
      <c r="D1806" s="23"/>
      <c r="E1806" s="23">
        <v>5277</v>
      </c>
      <c r="F1806" s="7" t="s">
        <v>37</v>
      </c>
      <c r="G1806" s="116">
        <v>50</v>
      </c>
      <c r="H1806" s="165">
        <f>G1806*E1806</f>
        <v>263850</v>
      </c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56"/>
    </row>
    <row r="1807" spans="1:22" x14ac:dyDescent="0.25">
      <c r="A1807" s="25">
        <v>1796</v>
      </c>
      <c r="B1807" s="23"/>
      <c r="C1807" s="93" t="s">
        <v>822</v>
      </c>
      <c r="D1807" s="23"/>
      <c r="E1807" s="23">
        <v>4359</v>
      </c>
      <c r="F1807" s="7" t="s">
        <v>37</v>
      </c>
      <c r="G1807" s="116">
        <v>50</v>
      </c>
      <c r="H1807" s="165">
        <f t="shared" ref="H1807:H1811" si="128">G1807*E1807</f>
        <v>217950</v>
      </c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56"/>
    </row>
    <row r="1808" spans="1:22" x14ac:dyDescent="0.25">
      <c r="A1808" s="25">
        <v>1797</v>
      </c>
      <c r="B1808" s="23"/>
      <c r="C1808" s="93" t="s">
        <v>823</v>
      </c>
      <c r="D1808" s="23"/>
      <c r="E1808" s="23">
        <v>4359</v>
      </c>
      <c r="F1808" s="7" t="s">
        <v>37</v>
      </c>
      <c r="G1808" s="116">
        <v>20</v>
      </c>
      <c r="H1808" s="165">
        <f t="shared" si="128"/>
        <v>87180</v>
      </c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56"/>
    </row>
    <row r="1809" spans="1:22" x14ac:dyDescent="0.25">
      <c r="A1809" s="25">
        <v>1798</v>
      </c>
      <c r="B1809" s="23"/>
      <c r="C1809" s="93" t="s">
        <v>824</v>
      </c>
      <c r="D1809" s="23"/>
      <c r="E1809" s="23">
        <f>3*4359</f>
        <v>13077</v>
      </c>
      <c r="F1809" s="23" t="s">
        <v>152</v>
      </c>
      <c r="G1809" s="116">
        <v>4.25</v>
      </c>
      <c r="H1809" s="165">
        <f t="shared" si="128"/>
        <v>55577.25</v>
      </c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56"/>
    </row>
    <row r="1810" spans="1:22" x14ac:dyDescent="0.25">
      <c r="A1810" s="25">
        <v>1799</v>
      </c>
      <c r="B1810" s="23"/>
      <c r="C1810" s="93" t="s">
        <v>825</v>
      </c>
      <c r="D1810" s="23"/>
      <c r="E1810" s="23">
        <f>3*4359</f>
        <v>13077</v>
      </c>
      <c r="F1810" s="23" t="s">
        <v>152</v>
      </c>
      <c r="G1810" s="116">
        <v>4</v>
      </c>
      <c r="H1810" s="165">
        <f t="shared" si="128"/>
        <v>52308</v>
      </c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56"/>
    </row>
    <row r="1811" spans="1:22" x14ac:dyDescent="0.25">
      <c r="A1811" s="25">
        <v>1800</v>
      </c>
      <c r="B1811" s="23"/>
      <c r="C1811" s="93" t="s">
        <v>826</v>
      </c>
      <c r="D1811" s="23"/>
      <c r="E1811" s="23">
        <v>4359</v>
      </c>
      <c r="F1811" s="23" t="s">
        <v>37</v>
      </c>
      <c r="G1811" s="116">
        <v>30</v>
      </c>
      <c r="H1811" s="165">
        <f t="shared" si="128"/>
        <v>130770</v>
      </c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56"/>
    </row>
    <row r="1812" spans="1:22" x14ac:dyDescent="0.25">
      <c r="A1812" s="25">
        <v>1801</v>
      </c>
      <c r="B1812" s="23"/>
      <c r="C1812" s="14"/>
      <c r="D1812" s="23"/>
      <c r="E1812" s="84"/>
      <c r="F1812" s="23"/>
      <c r="G1812" s="165"/>
      <c r="H1812" s="165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56"/>
    </row>
    <row r="1813" spans="1:22" ht="30" x14ac:dyDescent="0.25">
      <c r="A1813" s="25">
        <v>1802</v>
      </c>
      <c r="B1813" s="89" t="s">
        <v>121</v>
      </c>
      <c r="C1813" s="90" t="s">
        <v>133</v>
      </c>
      <c r="D1813" s="89" t="s">
        <v>27</v>
      </c>
      <c r="E1813" s="89"/>
      <c r="F1813" s="89"/>
      <c r="G1813" s="163"/>
      <c r="H1813" s="167">
        <v>1547000</v>
      </c>
      <c r="I1813" s="89" t="s">
        <v>52</v>
      </c>
      <c r="J1813" s="60">
        <v>1</v>
      </c>
      <c r="K1813" s="60"/>
      <c r="L1813" s="60"/>
      <c r="M1813" s="60">
        <v>1</v>
      </c>
      <c r="N1813" s="60"/>
      <c r="O1813" s="60"/>
      <c r="P1813" s="60">
        <v>1</v>
      </c>
      <c r="Q1813" s="60"/>
      <c r="R1813" s="60"/>
      <c r="S1813" s="60">
        <v>1</v>
      </c>
      <c r="T1813" s="60"/>
      <c r="U1813" s="60"/>
      <c r="V1813" s="56"/>
    </row>
    <row r="1814" spans="1:22" x14ac:dyDescent="0.25">
      <c r="A1814" s="25">
        <v>1803</v>
      </c>
      <c r="B1814" s="23"/>
      <c r="C1814" s="14" t="s">
        <v>1139</v>
      </c>
      <c r="D1814" s="23"/>
      <c r="E1814" s="23">
        <f>2*4</f>
        <v>8</v>
      </c>
      <c r="F1814" s="23" t="s">
        <v>567</v>
      </c>
      <c r="G1814" s="101">
        <v>28000</v>
      </c>
      <c r="H1814" s="165">
        <f>G1814*E1814</f>
        <v>224000</v>
      </c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56"/>
    </row>
    <row r="1815" spans="1:22" x14ac:dyDescent="0.25">
      <c r="A1815" s="25">
        <v>1804</v>
      </c>
      <c r="B1815" s="23"/>
      <c r="C1815" s="14" t="s">
        <v>1140</v>
      </c>
      <c r="D1815" s="23"/>
      <c r="E1815" s="23">
        <f t="shared" ref="E1815:E1816" si="129">2*4</f>
        <v>8</v>
      </c>
      <c r="F1815" s="23" t="s">
        <v>567</v>
      </c>
      <c r="G1815" s="101">
        <v>18000</v>
      </c>
      <c r="H1815" s="165">
        <f t="shared" ref="H1815:H1829" si="130">G1815*E1815</f>
        <v>144000</v>
      </c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56"/>
    </row>
    <row r="1816" spans="1:22" x14ac:dyDescent="0.25">
      <c r="A1816" s="25">
        <v>1805</v>
      </c>
      <c r="B1816" s="23"/>
      <c r="C1816" s="14" t="s">
        <v>1141</v>
      </c>
      <c r="D1816" s="23"/>
      <c r="E1816" s="23">
        <f t="shared" si="129"/>
        <v>8</v>
      </c>
      <c r="F1816" s="23" t="s">
        <v>567</v>
      </c>
      <c r="G1816" s="101">
        <v>12750</v>
      </c>
      <c r="H1816" s="165">
        <f t="shared" si="130"/>
        <v>102000</v>
      </c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56"/>
    </row>
    <row r="1817" spans="1:22" x14ac:dyDescent="0.25">
      <c r="A1817" s="25">
        <v>1806</v>
      </c>
      <c r="B1817" s="23"/>
      <c r="C1817" s="14" t="s">
        <v>1142</v>
      </c>
      <c r="D1817" s="23"/>
      <c r="E1817" s="23">
        <v>4</v>
      </c>
      <c r="F1817" s="23" t="s">
        <v>567</v>
      </c>
      <c r="G1817" s="101">
        <v>5830</v>
      </c>
      <c r="H1817" s="165">
        <f t="shared" si="130"/>
        <v>23320</v>
      </c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56"/>
    </row>
    <row r="1818" spans="1:22" x14ac:dyDescent="0.25">
      <c r="A1818" s="25">
        <v>1807</v>
      </c>
      <c r="B1818" s="23"/>
      <c r="C1818" s="14" t="s">
        <v>1143</v>
      </c>
      <c r="D1818" s="23"/>
      <c r="E1818" s="23">
        <v>4</v>
      </c>
      <c r="F1818" s="23" t="s">
        <v>567</v>
      </c>
      <c r="G1818" s="101">
        <v>7761</v>
      </c>
      <c r="H1818" s="165">
        <f t="shared" si="130"/>
        <v>31044</v>
      </c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56"/>
    </row>
    <row r="1819" spans="1:22" x14ac:dyDescent="0.25">
      <c r="A1819" s="25">
        <v>1808</v>
      </c>
      <c r="B1819" s="23"/>
      <c r="C1819" s="14" t="s">
        <v>1144</v>
      </c>
      <c r="D1819" s="23"/>
      <c r="E1819" s="23">
        <v>4</v>
      </c>
      <c r="F1819" s="23" t="s">
        <v>567</v>
      </c>
      <c r="G1819" s="101">
        <v>24340.799999999999</v>
      </c>
      <c r="H1819" s="165">
        <f t="shared" si="130"/>
        <v>97363.199999999997</v>
      </c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56"/>
    </row>
    <row r="1820" spans="1:22" x14ac:dyDescent="0.25">
      <c r="A1820" s="25">
        <v>1809</v>
      </c>
      <c r="B1820" s="23"/>
      <c r="C1820" s="14" t="s">
        <v>1145</v>
      </c>
      <c r="D1820" s="23"/>
      <c r="E1820" s="23">
        <v>4</v>
      </c>
      <c r="F1820" s="23" t="s">
        <v>567</v>
      </c>
      <c r="G1820" s="101">
        <v>37188.800000000003</v>
      </c>
      <c r="H1820" s="165">
        <f t="shared" si="130"/>
        <v>148755.20000000001</v>
      </c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56"/>
    </row>
    <row r="1821" spans="1:22" x14ac:dyDescent="0.25">
      <c r="A1821" s="25">
        <v>1810</v>
      </c>
      <c r="B1821" s="23"/>
      <c r="C1821" s="14" t="s">
        <v>1146</v>
      </c>
      <c r="D1821" s="23"/>
      <c r="E1821" s="23">
        <v>4</v>
      </c>
      <c r="F1821" s="23" t="s">
        <v>567</v>
      </c>
      <c r="G1821" s="101">
        <v>63920.4</v>
      </c>
      <c r="H1821" s="165">
        <f t="shared" si="130"/>
        <v>255681.6</v>
      </c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56"/>
    </row>
    <row r="1822" spans="1:22" x14ac:dyDescent="0.25">
      <c r="A1822" s="25">
        <v>1811</v>
      </c>
      <c r="B1822" s="23"/>
      <c r="C1822" s="14" t="s">
        <v>1147</v>
      </c>
      <c r="D1822" s="23"/>
      <c r="E1822" s="23">
        <v>4</v>
      </c>
      <c r="F1822" s="23" t="s">
        <v>567</v>
      </c>
      <c r="G1822" s="101">
        <v>8750</v>
      </c>
      <c r="H1822" s="165">
        <f t="shared" si="130"/>
        <v>35000</v>
      </c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56"/>
    </row>
    <row r="1823" spans="1:22" x14ac:dyDescent="0.25">
      <c r="A1823" s="25">
        <v>1812</v>
      </c>
      <c r="B1823" s="23"/>
      <c r="C1823" s="14" t="s">
        <v>1148</v>
      </c>
      <c r="D1823" s="23"/>
      <c r="E1823" s="23">
        <v>4</v>
      </c>
      <c r="F1823" s="23" t="s">
        <v>567</v>
      </c>
      <c r="G1823" s="101">
        <v>8864</v>
      </c>
      <c r="H1823" s="165">
        <f t="shared" si="130"/>
        <v>35456</v>
      </c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56"/>
    </row>
    <row r="1824" spans="1:22" x14ac:dyDescent="0.25">
      <c r="A1824" s="25">
        <v>1813</v>
      </c>
      <c r="B1824" s="23"/>
      <c r="C1824" s="14" t="s">
        <v>1165</v>
      </c>
      <c r="D1824" s="23"/>
      <c r="E1824" s="23">
        <v>4</v>
      </c>
      <c r="F1824" s="23" t="s">
        <v>567</v>
      </c>
      <c r="G1824" s="101">
        <v>6593</v>
      </c>
      <c r="H1824" s="165">
        <f t="shared" si="130"/>
        <v>26372</v>
      </c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56"/>
    </row>
    <row r="1825" spans="1:22" x14ac:dyDescent="0.25">
      <c r="A1825" s="25">
        <v>1814</v>
      </c>
      <c r="B1825" s="23"/>
      <c r="C1825" s="14" t="s">
        <v>1166</v>
      </c>
      <c r="D1825" s="23"/>
      <c r="E1825" s="23">
        <v>4</v>
      </c>
      <c r="F1825" s="23" t="s">
        <v>567</v>
      </c>
      <c r="G1825" s="101">
        <v>5885</v>
      </c>
      <c r="H1825" s="165">
        <f t="shared" si="130"/>
        <v>23540</v>
      </c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56"/>
    </row>
    <row r="1826" spans="1:22" x14ac:dyDescent="0.25">
      <c r="A1826" s="25">
        <v>1815</v>
      </c>
      <c r="B1826" s="23"/>
      <c r="C1826" s="14" t="s">
        <v>1167</v>
      </c>
      <c r="D1826" s="23"/>
      <c r="E1826" s="23">
        <v>4</v>
      </c>
      <c r="F1826" s="23" t="s">
        <v>567</v>
      </c>
      <c r="G1826" s="101">
        <v>4945</v>
      </c>
      <c r="H1826" s="165">
        <f t="shared" si="130"/>
        <v>19780</v>
      </c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56"/>
    </row>
    <row r="1827" spans="1:22" x14ac:dyDescent="0.25">
      <c r="A1827" s="25">
        <v>1816</v>
      </c>
      <c r="B1827" s="23"/>
      <c r="C1827" s="14" t="s">
        <v>1168</v>
      </c>
      <c r="D1827" s="23"/>
      <c r="E1827" s="23">
        <f>25*4</f>
        <v>100</v>
      </c>
      <c r="F1827" s="23" t="s">
        <v>986</v>
      </c>
      <c r="G1827" s="101">
        <v>3150</v>
      </c>
      <c r="H1827" s="165">
        <f t="shared" si="130"/>
        <v>315000</v>
      </c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56"/>
    </row>
    <row r="1828" spans="1:22" x14ac:dyDescent="0.25">
      <c r="A1828" s="25">
        <v>1817</v>
      </c>
      <c r="B1828" s="23"/>
      <c r="C1828" s="14" t="s">
        <v>1171</v>
      </c>
      <c r="D1828" s="23"/>
      <c r="E1828" s="23">
        <f>25*4</f>
        <v>100</v>
      </c>
      <c r="F1828" s="8" t="s">
        <v>291</v>
      </c>
      <c r="G1828" s="101">
        <v>614.88</v>
      </c>
      <c r="H1828" s="165">
        <f t="shared" si="130"/>
        <v>61488</v>
      </c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56"/>
    </row>
    <row r="1829" spans="1:22" x14ac:dyDescent="0.25">
      <c r="A1829" s="25">
        <v>1818</v>
      </c>
      <c r="B1829" s="23"/>
      <c r="C1829" s="14" t="s">
        <v>1173</v>
      </c>
      <c r="D1829" s="23"/>
      <c r="E1829" s="23">
        <f>3*4</f>
        <v>12</v>
      </c>
      <c r="F1829" s="23" t="s">
        <v>567</v>
      </c>
      <c r="G1829" s="101">
        <v>350</v>
      </c>
      <c r="H1829" s="165">
        <f t="shared" si="130"/>
        <v>4200</v>
      </c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56"/>
    </row>
    <row r="1830" spans="1:22" x14ac:dyDescent="0.25">
      <c r="A1830" s="25">
        <v>1819</v>
      </c>
      <c r="B1830" s="23"/>
      <c r="C1830" s="14"/>
      <c r="D1830" s="23"/>
      <c r="E1830" s="84"/>
      <c r="F1830" s="23"/>
      <c r="G1830" s="165"/>
      <c r="H1830" s="165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56"/>
    </row>
    <row r="1831" spans="1:22" ht="30" x14ac:dyDescent="0.25">
      <c r="A1831" s="25">
        <v>1820</v>
      </c>
      <c r="B1831" s="89" t="s">
        <v>121</v>
      </c>
      <c r="C1831" s="90" t="s">
        <v>134</v>
      </c>
      <c r="D1831" s="89" t="s">
        <v>27</v>
      </c>
      <c r="E1831" s="89"/>
      <c r="F1831" s="89"/>
      <c r="G1831" s="163"/>
      <c r="H1831" s="167">
        <v>2825784</v>
      </c>
      <c r="I1831" s="89" t="s">
        <v>52</v>
      </c>
      <c r="J1831" s="60"/>
      <c r="K1831" s="60"/>
      <c r="L1831" s="60"/>
      <c r="M1831" s="60">
        <v>1</v>
      </c>
      <c r="N1831" s="60"/>
      <c r="O1831" s="60"/>
      <c r="P1831" s="60">
        <v>1</v>
      </c>
      <c r="Q1831" s="60"/>
      <c r="R1831" s="60">
        <v>1</v>
      </c>
      <c r="S1831" s="60"/>
      <c r="T1831" s="60"/>
      <c r="U1831" s="60"/>
      <c r="V1831" s="56"/>
    </row>
    <row r="1832" spans="1:22" x14ac:dyDescent="0.25">
      <c r="A1832" s="25">
        <v>1821</v>
      </c>
      <c r="B1832" s="23"/>
      <c r="C1832" s="1" t="s">
        <v>814</v>
      </c>
      <c r="D1832" s="23"/>
      <c r="E1832" s="33">
        <v>936</v>
      </c>
      <c r="F1832" s="33" t="s">
        <v>37</v>
      </c>
      <c r="G1832" s="47">
        <v>225</v>
      </c>
      <c r="H1832" s="165">
        <f>G1832*E1832</f>
        <v>210600</v>
      </c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56"/>
    </row>
    <row r="1833" spans="1:22" x14ac:dyDescent="0.25">
      <c r="A1833" s="25">
        <v>1822</v>
      </c>
      <c r="B1833" s="23"/>
      <c r="C1833" s="1" t="s">
        <v>810</v>
      </c>
      <c r="D1833" s="23"/>
      <c r="E1833" s="33">
        <v>936</v>
      </c>
      <c r="F1833" s="33" t="s">
        <v>37</v>
      </c>
      <c r="G1833" s="47">
        <v>295</v>
      </c>
      <c r="H1833" s="165">
        <f t="shared" ref="H1833:H1850" si="131">G1833*E1833</f>
        <v>276120</v>
      </c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56"/>
    </row>
    <row r="1834" spans="1:22" x14ac:dyDescent="0.25">
      <c r="A1834" s="25">
        <v>1823</v>
      </c>
      <c r="B1834" s="23"/>
      <c r="C1834" s="1" t="s">
        <v>816</v>
      </c>
      <c r="D1834" s="23"/>
      <c r="E1834" s="33">
        <v>936</v>
      </c>
      <c r="F1834" s="33" t="s">
        <v>37</v>
      </c>
      <c r="G1834" s="47">
        <v>200</v>
      </c>
      <c r="H1834" s="165">
        <f t="shared" si="131"/>
        <v>187200</v>
      </c>
      <c r="I1834" s="66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56"/>
    </row>
    <row r="1835" spans="1:22" x14ac:dyDescent="0.25">
      <c r="A1835" s="25">
        <v>1824</v>
      </c>
      <c r="B1835" s="23"/>
      <c r="C1835" s="1" t="s">
        <v>1143</v>
      </c>
      <c r="D1835" s="23"/>
      <c r="E1835" s="33">
        <v>936</v>
      </c>
      <c r="F1835" s="33" t="s">
        <v>37</v>
      </c>
      <c r="G1835" s="47">
        <v>120</v>
      </c>
      <c r="H1835" s="165">
        <f t="shared" si="131"/>
        <v>112320</v>
      </c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56"/>
    </row>
    <row r="1836" spans="1:22" x14ac:dyDescent="0.25">
      <c r="A1836" s="25">
        <v>1825</v>
      </c>
      <c r="B1836" s="23"/>
      <c r="C1836" s="1" t="s">
        <v>835</v>
      </c>
      <c r="D1836" s="23"/>
      <c r="E1836" s="33">
        <v>936</v>
      </c>
      <c r="F1836" s="33" t="s">
        <v>37</v>
      </c>
      <c r="G1836" s="47">
        <v>165</v>
      </c>
      <c r="H1836" s="165">
        <f t="shared" si="131"/>
        <v>154440</v>
      </c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56"/>
    </row>
    <row r="1837" spans="1:22" x14ac:dyDescent="0.25">
      <c r="A1837" s="25">
        <v>1826</v>
      </c>
      <c r="B1837" s="23"/>
      <c r="C1837" s="1" t="s">
        <v>836</v>
      </c>
      <c r="D1837" s="23"/>
      <c r="E1837" s="33">
        <v>936</v>
      </c>
      <c r="F1837" s="33" t="s">
        <v>37</v>
      </c>
      <c r="G1837" s="47">
        <v>266</v>
      </c>
      <c r="H1837" s="165">
        <f t="shared" si="131"/>
        <v>248976</v>
      </c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56"/>
    </row>
    <row r="1838" spans="1:22" x14ac:dyDescent="0.25">
      <c r="A1838" s="25">
        <v>1827</v>
      </c>
      <c r="B1838" s="23"/>
      <c r="C1838" s="1" t="s">
        <v>837</v>
      </c>
      <c r="D1838" s="23"/>
      <c r="E1838" s="33">
        <v>936</v>
      </c>
      <c r="F1838" s="33" t="s">
        <v>37</v>
      </c>
      <c r="G1838" s="47">
        <v>236</v>
      </c>
      <c r="H1838" s="165">
        <f t="shared" si="131"/>
        <v>220896</v>
      </c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56"/>
    </row>
    <row r="1839" spans="1:22" x14ac:dyDescent="0.25">
      <c r="A1839" s="25">
        <v>1828</v>
      </c>
      <c r="B1839" s="23"/>
      <c r="C1839" s="1" t="s">
        <v>1179</v>
      </c>
      <c r="D1839" s="23"/>
      <c r="E1839" s="33">
        <v>936</v>
      </c>
      <c r="F1839" s="33" t="s">
        <v>37</v>
      </c>
      <c r="G1839" s="47">
        <v>120</v>
      </c>
      <c r="H1839" s="165">
        <f t="shared" si="131"/>
        <v>112320</v>
      </c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56"/>
    </row>
    <row r="1840" spans="1:22" x14ac:dyDescent="0.25">
      <c r="A1840" s="25">
        <v>1829</v>
      </c>
      <c r="B1840" s="23"/>
      <c r="C1840" s="1" t="s">
        <v>1180</v>
      </c>
      <c r="D1840" s="23"/>
      <c r="E1840" s="33">
        <v>936</v>
      </c>
      <c r="F1840" s="33" t="s">
        <v>37</v>
      </c>
      <c r="G1840" s="47">
        <v>100</v>
      </c>
      <c r="H1840" s="165">
        <f t="shared" si="131"/>
        <v>93600</v>
      </c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56"/>
    </row>
    <row r="1841" spans="1:22" x14ac:dyDescent="0.25">
      <c r="A1841" s="25">
        <v>1830</v>
      </c>
      <c r="B1841" s="23"/>
      <c r="C1841" s="1" t="s">
        <v>1181</v>
      </c>
      <c r="D1841" s="23"/>
      <c r="E1841" s="33">
        <v>936</v>
      </c>
      <c r="F1841" s="33" t="s">
        <v>37</v>
      </c>
      <c r="G1841" s="47">
        <v>431</v>
      </c>
      <c r="H1841" s="165">
        <f t="shared" si="131"/>
        <v>403416</v>
      </c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56"/>
    </row>
    <row r="1842" spans="1:22" x14ac:dyDescent="0.25">
      <c r="A1842" s="25">
        <v>1831</v>
      </c>
      <c r="B1842" s="23"/>
      <c r="C1842" s="1" t="s">
        <v>1182</v>
      </c>
      <c r="D1842" s="23"/>
      <c r="E1842" s="33">
        <v>936</v>
      </c>
      <c r="F1842" s="33" t="s">
        <v>37</v>
      </c>
      <c r="G1842" s="47">
        <v>122</v>
      </c>
      <c r="H1842" s="165">
        <f t="shared" si="131"/>
        <v>114192</v>
      </c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56"/>
    </row>
    <row r="1843" spans="1:22" x14ac:dyDescent="0.25">
      <c r="A1843" s="25">
        <v>1832</v>
      </c>
      <c r="B1843" s="23"/>
      <c r="C1843" s="1" t="s">
        <v>1183</v>
      </c>
      <c r="D1843" s="23"/>
      <c r="E1843" s="33">
        <v>936</v>
      </c>
      <c r="F1843" s="33" t="s">
        <v>37</v>
      </c>
      <c r="G1843" s="47">
        <v>190</v>
      </c>
      <c r="H1843" s="165">
        <f t="shared" si="131"/>
        <v>177840</v>
      </c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56"/>
    </row>
    <row r="1844" spans="1:22" x14ac:dyDescent="0.25">
      <c r="A1844" s="25">
        <v>1833</v>
      </c>
      <c r="B1844" s="23"/>
      <c r="C1844" s="1" t="s">
        <v>1148</v>
      </c>
      <c r="D1844" s="23"/>
      <c r="E1844" s="33">
        <v>936</v>
      </c>
      <c r="F1844" s="33" t="s">
        <v>37</v>
      </c>
      <c r="G1844" s="47">
        <v>109</v>
      </c>
      <c r="H1844" s="165">
        <f t="shared" si="131"/>
        <v>102024</v>
      </c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56"/>
    </row>
    <row r="1845" spans="1:22" x14ac:dyDescent="0.25">
      <c r="A1845" s="25">
        <v>1834</v>
      </c>
      <c r="B1845" s="23"/>
      <c r="C1845" s="1" t="s">
        <v>1184</v>
      </c>
      <c r="D1845" s="23"/>
      <c r="E1845" s="33">
        <v>936</v>
      </c>
      <c r="F1845" s="33" t="s">
        <v>37</v>
      </c>
      <c r="G1845" s="47">
        <v>250</v>
      </c>
      <c r="H1845" s="165">
        <f t="shared" si="131"/>
        <v>234000</v>
      </c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56"/>
    </row>
    <row r="1846" spans="1:22" x14ac:dyDescent="0.25">
      <c r="A1846" s="25">
        <v>1835</v>
      </c>
      <c r="B1846" s="23"/>
      <c r="C1846" s="1" t="s">
        <v>1163</v>
      </c>
      <c r="D1846" s="23"/>
      <c r="E1846" s="33">
        <v>936</v>
      </c>
      <c r="F1846" s="33" t="s">
        <v>37</v>
      </c>
      <c r="G1846" s="47">
        <v>15</v>
      </c>
      <c r="H1846" s="165">
        <f t="shared" si="131"/>
        <v>14040</v>
      </c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56"/>
    </row>
    <row r="1847" spans="1:22" x14ac:dyDescent="0.25">
      <c r="A1847" s="25">
        <v>1836</v>
      </c>
      <c r="B1847" s="23"/>
      <c r="C1847" s="1" t="s">
        <v>1185</v>
      </c>
      <c r="D1847" s="23"/>
      <c r="E1847" s="33">
        <v>936</v>
      </c>
      <c r="F1847" s="33" t="s">
        <v>37</v>
      </c>
      <c r="G1847" s="47">
        <v>15</v>
      </c>
      <c r="H1847" s="165">
        <f t="shared" si="131"/>
        <v>14040</v>
      </c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56"/>
    </row>
    <row r="1848" spans="1:22" x14ac:dyDescent="0.25">
      <c r="A1848" s="25">
        <v>1837</v>
      </c>
      <c r="B1848" s="23"/>
      <c r="C1848" s="1" t="s">
        <v>1186</v>
      </c>
      <c r="D1848" s="23"/>
      <c r="E1848" s="33">
        <v>936</v>
      </c>
      <c r="F1848" s="33" t="s">
        <v>37</v>
      </c>
      <c r="G1848" s="47">
        <v>15</v>
      </c>
      <c r="H1848" s="165">
        <f t="shared" si="131"/>
        <v>14040</v>
      </c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56"/>
    </row>
    <row r="1849" spans="1:22" x14ac:dyDescent="0.25">
      <c r="A1849" s="25">
        <v>1838</v>
      </c>
      <c r="B1849" s="23"/>
      <c r="C1849" s="1" t="s">
        <v>353</v>
      </c>
      <c r="D1849" s="23"/>
      <c r="E1849" s="33">
        <v>936</v>
      </c>
      <c r="F1849" s="33" t="s">
        <v>37</v>
      </c>
      <c r="G1849" s="47">
        <v>5</v>
      </c>
      <c r="H1849" s="165">
        <f t="shared" si="131"/>
        <v>4680</v>
      </c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56"/>
    </row>
    <row r="1850" spans="1:22" x14ac:dyDescent="0.25">
      <c r="A1850" s="25">
        <v>1839</v>
      </c>
      <c r="B1850" s="23"/>
      <c r="C1850" s="1" t="s">
        <v>802</v>
      </c>
      <c r="D1850" s="23"/>
      <c r="E1850" s="33">
        <v>936</v>
      </c>
      <c r="F1850" s="33" t="s">
        <v>37</v>
      </c>
      <c r="G1850" s="47">
        <v>140</v>
      </c>
      <c r="H1850" s="165">
        <f t="shared" si="131"/>
        <v>131040</v>
      </c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56"/>
    </row>
    <row r="1851" spans="1:22" x14ac:dyDescent="0.25">
      <c r="A1851" s="25">
        <v>1840</v>
      </c>
      <c r="B1851" s="23"/>
      <c r="C1851" s="14"/>
      <c r="D1851" s="23"/>
      <c r="E1851" s="84"/>
      <c r="F1851" s="23"/>
      <c r="G1851" s="165"/>
      <c r="H1851" s="165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56"/>
    </row>
    <row r="1852" spans="1:22" ht="30" x14ac:dyDescent="0.25">
      <c r="A1852" s="25">
        <v>1841</v>
      </c>
      <c r="B1852" s="89" t="s">
        <v>121</v>
      </c>
      <c r="C1852" s="90" t="s">
        <v>44</v>
      </c>
      <c r="D1852" s="89" t="s">
        <v>27</v>
      </c>
      <c r="E1852" s="89"/>
      <c r="F1852" s="89"/>
      <c r="G1852" s="163"/>
      <c r="H1852" s="167">
        <v>3508880</v>
      </c>
      <c r="I1852" s="89" t="s">
        <v>52</v>
      </c>
      <c r="J1852" s="60"/>
      <c r="K1852" s="60"/>
      <c r="L1852" s="60"/>
      <c r="M1852" s="60"/>
      <c r="N1852" s="60">
        <v>2</v>
      </c>
      <c r="O1852" s="60"/>
      <c r="P1852" s="60"/>
      <c r="Q1852" s="60"/>
      <c r="R1852" s="60"/>
      <c r="S1852" s="60">
        <v>2</v>
      </c>
      <c r="T1852" s="60"/>
      <c r="U1852" s="60"/>
      <c r="V1852" s="56"/>
    </row>
    <row r="1853" spans="1:22" x14ac:dyDescent="0.25">
      <c r="A1853" s="25">
        <v>1842</v>
      </c>
      <c r="B1853" s="23"/>
      <c r="C1853" s="51" t="s">
        <v>810</v>
      </c>
      <c r="D1853" s="23"/>
      <c r="E1853" s="84"/>
      <c r="F1853" s="23"/>
      <c r="G1853" s="165"/>
      <c r="H1853" s="165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56"/>
    </row>
    <row r="1854" spans="1:22" x14ac:dyDescent="0.25">
      <c r="A1854" s="25">
        <v>1843</v>
      </c>
      <c r="B1854" s="23"/>
      <c r="C1854" s="6" t="s">
        <v>811</v>
      </c>
      <c r="D1854" s="23"/>
      <c r="E1854" s="8">
        <v>1840</v>
      </c>
      <c r="F1854" s="33" t="s">
        <v>37</v>
      </c>
      <c r="G1854" s="181">
        <v>155</v>
      </c>
      <c r="H1854" s="165">
        <f>G1854*E1854</f>
        <v>285200</v>
      </c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56"/>
    </row>
    <row r="1855" spans="1:22" x14ac:dyDescent="0.25">
      <c r="A1855" s="25">
        <v>1844</v>
      </c>
      <c r="B1855" s="23"/>
      <c r="C1855" s="6" t="s">
        <v>812</v>
      </c>
      <c r="D1855" s="23"/>
      <c r="E1855" s="8">
        <v>1840</v>
      </c>
      <c r="F1855" s="33" t="s">
        <v>37</v>
      </c>
      <c r="G1855" s="181">
        <v>70</v>
      </c>
      <c r="H1855" s="165">
        <f t="shared" ref="H1855:H1879" si="132">G1855*E1855</f>
        <v>128800</v>
      </c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56"/>
    </row>
    <row r="1856" spans="1:22" x14ac:dyDescent="0.25">
      <c r="A1856" s="25">
        <v>1845</v>
      </c>
      <c r="B1856" s="23"/>
      <c r="C1856" s="6" t="s">
        <v>813</v>
      </c>
      <c r="D1856" s="23"/>
      <c r="E1856" s="8">
        <v>1840</v>
      </c>
      <c r="F1856" s="33" t="s">
        <v>37</v>
      </c>
      <c r="G1856" s="181">
        <v>70</v>
      </c>
      <c r="H1856" s="165">
        <f t="shared" si="132"/>
        <v>128800</v>
      </c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56"/>
    </row>
    <row r="1857" spans="1:22" x14ac:dyDescent="0.25">
      <c r="A1857" s="25">
        <v>1846</v>
      </c>
      <c r="B1857" s="23"/>
      <c r="C1857" s="14" t="s">
        <v>814</v>
      </c>
      <c r="D1857" s="23"/>
      <c r="E1857" s="84"/>
      <c r="F1857" s="23"/>
      <c r="G1857" s="165"/>
      <c r="H1857" s="165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56"/>
    </row>
    <row r="1858" spans="1:22" x14ac:dyDescent="0.25">
      <c r="A1858" s="25">
        <v>1847</v>
      </c>
      <c r="B1858" s="23"/>
      <c r="C1858" s="1" t="s">
        <v>815</v>
      </c>
      <c r="D1858" s="23"/>
      <c r="E1858" s="8">
        <v>1840</v>
      </c>
      <c r="F1858" s="33" t="s">
        <v>37</v>
      </c>
      <c r="G1858" s="53">
        <v>225</v>
      </c>
      <c r="H1858" s="165">
        <f t="shared" si="132"/>
        <v>414000</v>
      </c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56"/>
    </row>
    <row r="1859" spans="1:22" x14ac:dyDescent="0.25">
      <c r="A1859" s="25">
        <v>1848</v>
      </c>
      <c r="B1859" s="23"/>
      <c r="C1859" s="4" t="s">
        <v>816</v>
      </c>
      <c r="D1859" s="23"/>
      <c r="E1859" s="84"/>
      <c r="F1859" s="23"/>
      <c r="G1859" s="165"/>
      <c r="H1859" s="165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56"/>
    </row>
    <row r="1860" spans="1:22" x14ac:dyDescent="0.25">
      <c r="A1860" s="25">
        <v>1849</v>
      </c>
      <c r="B1860" s="23"/>
      <c r="C1860" s="1" t="s">
        <v>817</v>
      </c>
      <c r="D1860" s="23"/>
      <c r="E1860" s="8">
        <v>1840</v>
      </c>
      <c r="F1860" s="33" t="s">
        <v>37</v>
      </c>
      <c r="G1860" s="181">
        <v>12</v>
      </c>
      <c r="H1860" s="165">
        <f t="shared" si="132"/>
        <v>22080</v>
      </c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56"/>
    </row>
    <row r="1861" spans="1:22" x14ac:dyDescent="0.25">
      <c r="A1861" s="25">
        <v>1850</v>
      </c>
      <c r="B1861" s="23"/>
      <c r="C1861" s="1" t="s">
        <v>818</v>
      </c>
      <c r="D1861" s="23"/>
      <c r="E1861" s="8">
        <v>1840</v>
      </c>
      <c r="F1861" s="33" t="s">
        <v>37</v>
      </c>
      <c r="G1861" s="181">
        <v>9</v>
      </c>
      <c r="H1861" s="165">
        <f t="shared" si="132"/>
        <v>16560</v>
      </c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56"/>
    </row>
    <row r="1862" spans="1:22" x14ac:dyDescent="0.25">
      <c r="A1862" s="25">
        <v>1851</v>
      </c>
      <c r="B1862" s="23"/>
      <c r="C1862" s="1" t="s">
        <v>819</v>
      </c>
      <c r="D1862" s="23"/>
      <c r="E1862" s="8">
        <v>1840</v>
      </c>
      <c r="F1862" s="33" t="s">
        <v>37</v>
      </c>
      <c r="G1862" s="181">
        <v>8</v>
      </c>
      <c r="H1862" s="165">
        <f t="shared" si="132"/>
        <v>14720</v>
      </c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56"/>
    </row>
    <row r="1863" spans="1:22" x14ac:dyDescent="0.25">
      <c r="A1863" s="25">
        <v>1852</v>
      </c>
      <c r="B1863" s="23"/>
      <c r="C1863" s="1" t="s">
        <v>820</v>
      </c>
      <c r="D1863" s="23"/>
      <c r="E1863" s="8">
        <v>1840</v>
      </c>
      <c r="F1863" s="33" t="s">
        <v>37</v>
      </c>
      <c r="G1863" s="181">
        <v>12</v>
      </c>
      <c r="H1863" s="165">
        <f t="shared" si="132"/>
        <v>22080</v>
      </c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56"/>
    </row>
    <row r="1864" spans="1:22" x14ac:dyDescent="0.25">
      <c r="A1864" s="25">
        <v>1853</v>
      </c>
      <c r="B1864" s="23"/>
      <c r="C1864" s="1" t="s">
        <v>827</v>
      </c>
      <c r="D1864" s="23"/>
      <c r="E1864" s="8">
        <v>1840</v>
      </c>
      <c r="F1864" s="33" t="s">
        <v>37</v>
      </c>
      <c r="G1864" s="181">
        <v>5</v>
      </c>
      <c r="H1864" s="165">
        <f t="shared" si="132"/>
        <v>9200</v>
      </c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56"/>
    </row>
    <row r="1865" spans="1:22" x14ac:dyDescent="0.25">
      <c r="A1865" s="25">
        <v>1854</v>
      </c>
      <c r="B1865" s="23"/>
      <c r="C1865" s="1" t="s">
        <v>828</v>
      </c>
      <c r="D1865" s="23"/>
      <c r="E1865" s="8">
        <v>1840</v>
      </c>
      <c r="F1865" s="33" t="s">
        <v>37</v>
      </c>
      <c r="G1865" s="181">
        <v>5</v>
      </c>
      <c r="H1865" s="165">
        <f t="shared" si="132"/>
        <v>9200</v>
      </c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56"/>
    </row>
    <row r="1866" spans="1:22" x14ac:dyDescent="0.25">
      <c r="A1866" s="25">
        <v>1855</v>
      </c>
      <c r="B1866" s="23"/>
      <c r="C1866" s="1" t="s">
        <v>829</v>
      </c>
      <c r="D1866" s="23"/>
      <c r="E1866" s="8">
        <v>1840</v>
      </c>
      <c r="F1866" s="33" t="s">
        <v>37</v>
      </c>
      <c r="G1866" s="181">
        <v>66</v>
      </c>
      <c r="H1866" s="165">
        <f t="shared" si="132"/>
        <v>121440</v>
      </c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56"/>
    </row>
    <row r="1867" spans="1:22" x14ac:dyDescent="0.25">
      <c r="A1867" s="25">
        <v>1856</v>
      </c>
      <c r="B1867" s="23"/>
      <c r="C1867" s="1" t="s">
        <v>830</v>
      </c>
      <c r="D1867" s="23"/>
      <c r="E1867" s="8">
        <v>1840</v>
      </c>
      <c r="F1867" s="33" t="s">
        <v>37</v>
      </c>
      <c r="G1867" s="181">
        <v>19</v>
      </c>
      <c r="H1867" s="165">
        <f t="shared" si="132"/>
        <v>34960</v>
      </c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56"/>
    </row>
    <row r="1868" spans="1:22" x14ac:dyDescent="0.25">
      <c r="A1868" s="25">
        <v>1857</v>
      </c>
      <c r="B1868" s="23"/>
      <c r="C1868" s="1" t="s">
        <v>831</v>
      </c>
      <c r="D1868" s="23"/>
      <c r="E1868" s="8">
        <v>1840</v>
      </c>
      <c r="F1868" s="33" t="s">
        <v>37</v>
      </c>
      <c r="G1868" s="181">
        <v>5</v>
      </c>
      <c r="H1868" s="165">
        <f t="shared" si="132"/>
        <v>9200</v>
      </c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56"/>
    </row>
    <row r="1869" spans="1:22" x14ac:dyDescent="0.25">
      <c r="A1869" s="25">
        <v>1858</v>
      </c>
      <c r="B1869" s="23"/>
      <c r="C1869" s="1" t="s">
        <v>832</v>
      </c>
      <c r="D1869" s="23"/>
      <c r="E1869" s="8">
        <v>1840</v>
      </c>
      <c r="F1869" s="33" t="s">
        <v>37</v>
      </c>
      <c r="G1869" s="181">
        <v>45</v>
      </c>
      <c r="H1869" s="165">
        <f t="shared" si="132"/>
        <v>82800</v>
      </c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56"/>
    </row>
    <row r="1870" spans="1:22" x14ac:dyDescent="0.25">
      <c r="A1870" s="25">
        <v>1859</v>
      </c>
      <c r="B1870" s="23"/>
      <c r="C1870" s="1" t="s">
        <v>833</v>
      </c>
      <c r="D1870" s="23"/>
      <c r="E1870" s="8">
        <v>1840</v>
      </c>
      <c r="F1870" s="33" t="s">
        <v>37</v>
      </c>
      <c r="G1870" s="181">
        <v>7</v>
      </c>
      <c r="H1870" s="165">
        <f t="shared" si="132"/>
        <v>12880</v>
      </c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56"/>
    </row>
    <row r="1871" spans="1:22" x14ac:dyDescent="0.25">
      <c r="A1871" s="25">
        <v>1860</v>
      </c>
      <c r="B1871" s="23"/>
      <c r="C1871" s="1" t="s">
        <v>834</v>
      </c>
      <c r="D1871" s="23"/>
      <c r="E1871" s="8">
        <v>1840</v>
      </c>
      <c r="F1871" s="33" t="s">
        <v>37</v>
      </c>
      <c r="G1871" s="181">
        <v>7</v>
      </c>
      <c r="H1871" s="165">
        <f t="shared" si="132"/>
        <v>12880</v>
      </c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56"/>
    </row>
    <row r="1872" spans="1:22" x14ac:dyDescent="0.25">
      <c r="A1872" s="25">
        <v>1861</v>
      </c>
      <c r="B1872" s="23"/>
      <c r="C1872" s="14" t="s">
        <v>841</v>
      </c>
      <c r="D1872" s="23"/>
      <c r="E1872" s="8"/>
      <c r="F1872" s="23"/>
      <c r="G1872" s="181"/>
      <c r="H1872" s="165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56"/>
    </row>
    <row r="1873" spans="1:22" x14ac:dyDescent="0.25">
      <c r="A1873" s="25">
        <v>1862</v>
      </c>
      <c r="B1873" s="23"/>
      <c r="C1873" s="51" t="s">
        <v>835</v>
      </c>
      <c r="D1873" s="23"/>
      <c r="E1873" s="8">
        <v>1840</v>
      </c>
      <c r="F1873" s="33" t="s">
        <v>37</v>
      </c>
      <c r="G1873" s="183">
        <v>165</v>
      </c>
      <c r="H1873" s="165">
        <f t="shared" si="132"/>
        <v>303600</v>
      </c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56"/>
    </row>
    <row r="1874" spans="1:22" x14ac:dyDescent="0.25">
      <c r="A1874" s="25">
        <v>1863</v>
      </c>
      <c r="B1874" s="23"/>
      <c r="C1874" s="51" t="s">
        <v>836</v>
      </c>
      <c r="D1874" s="23"/>
      <c r="E1874" s="8">
        <v>1840</v>
      </c>
      <c r="F1874" s="33" t="s">
        <v>37</v>
      </c>
      <c r="G1874" s="183">
        <v>266</v>
      </c>
      <c r="H1874" s="165">
        <f t="shared" si="132"/>
        <v>489440</v>
      </c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56"/>
    </row>
    <row r="1875" spans="1:22" x14ac:dyDescent="0.25">
      <c r="A1875" s="25">
        <v>1864</v>
      </c>
      <c r="B1875" s="23"/>
      <c r="C1875" s="51" t="s">
        <v>837</v>
      </c>
      <c r="D1875" s="23"/>
      <c r="E1875" s="8">
        <v>1840</v>
      </c>
      <c r="F1875" s="33" t="s">
        <v>37</v>
      </c>
      <c r="G1875" s="183">
        <v>236</v>
      </c>
      <c r="H1875" s="165">
        <f t="shared" si="132"/>
        <v>434240</v>
      </c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56"/>
    </row>
    <row r="1876" spans="1:22" x14ac:dyDescent="0.25">
      <c r="A1876" s="25">
        <v>1865</v>
      </c>
      <c r="B1876" s="23"/>
      <c r="C1876" s="51" t="s">
        <v>838</v>
      </c>
      <c r="D1876" s="23"/>
      <c r="E1876" s="8">
        <v>1840</v>
      </c>
      <c r="F1876" s="33" t="s">
        <v>37</v>
      </c>
      <c r="G1876" s="183">
        <v>120</v>
      </c>
      <c r="H1876" s="165">
        <f t="shared" si="132"/>
        <v>220800</v>
      </c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56"/>
    </row>
    <row r="1877" spans="1:22" x14ac:dyDescent="0.25">
      <c r="A1877" s="25">
        <v>1866</v>
      </c>
      <c r="B1877" s="23"/>
      <c r="C1877" s="51" t="s">
        <v>839</v>
      </c>
      <c r="D1877" s="23"/>
      <c r="E1877" s="8">
        <v>1840</v>
      </c>
      <c r="F1877" s="33" t="s">
        <v>37</v>
      </c>
      <c r="G1877" s="183">
        <v>100</v>
      </c>
      <c r="H1877" s="165">
        <f t="shared" si="132"/>
        <v>184000</v>
      </c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56"/>
    </row>
    <row r="1878" spans="1:22" x14ac:dyDescent="0.25">
      <c r="A1878" s="25">
        <v>1867</v>
      </c>
      <c r="B1878" s="23"/>
      <c r="C1878" s="1" t="s">
        <v>840</v>
      </c>
      <c r="D1878" s="23"/>
      <c r="E1878" s="8">
        <v>1840</v>
      </c>
      <c r="F1878" s="33" t="s">
        <v>37</v>
      </c>
      <c r="G1878" s="183">
        <v>250</v>
      </c>
      <c r="H1878" s="165">
        <f t="shared" si="132"/>
        <v>460000</v>
      </c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56"/>
    </row>
    <row r="1879" spans="1:22" x14ac:dyDescent="0.25">
      <c r="A1879" s="25">
        <v>1868</v>
      </c>
      <c r="B1879" s="23"/>
      <c r="C1879" s="14" t="s">
        <v>821</v>
      </c>
      <c r="D1879" s="23"/>
      <c r="E1879" s="8">
        <v>1840</v>
      </c>
      <c r="F1879" s="33" t="s">
        <v>37</v>
      </c>
      <c r="G1879" s="116">
        <v>50</v>
      </c>
      <c r="H1879" s="165">
        <f t="shared" si="132"/>
        <v>92000</v>
      </c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56"/>
    </row>
    <row r="1880" spans="1:22" x14ac:dyDescent="0.25">
      <c r="A1880" s="25">
        <v>1869</v>
      </c>
      <c r="B1880" s="23"/>
      <c r="C1880" s="14"/>
      <c r="D1880" s="23"/>
      <c r="E1880" s="84"/>
      <c r="F1880" s="23"/>
      <c r="G1880" s="165"/>
      <c r="H1880" s="165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56"/>
    </row>
    <row r="1881" spans="1:22" ht="30" x14ac:dyDescent="0.25">
      <c r="A1881" s="25">
        <v>1870</v>
      </c>
      <c r="B1881" s="86" t="s">
        <v>136</v>
      </c>
      <c r="C1881" s="87" t="s">
        <v>137</v>
      </c>
      <c r="D1881" s="86" t="s">
        <v>26</v>
      </c>
      <c r="E1881" s="86"/>
      <c r="F1881" s="86"/>
      <c r="G1881" s="161"/>
      <c r="H1881" s="189">
        <f>H1882+H1897+H1900+H1903+H1908+H1912</f>
        <v>989074</v>
      </c>
      <c r="I1881" s="86" t="s">
        <v>52</v>
      </c>
      <c r="J1881" s="88">
        <v>3</v>
      </c>
      <c r="K1881" s="88">
        <v>1</v>
      </c>
      <c r="L1881" s="86"/>
      <c r="M1881" s="88">
        <v>2</v>
      </c>
      <c r="N1881" s="86"/>
      <c r="O1881" s="88">
        <v>2</v>
      </c>
      <c r="P1881" s="88">
        <v>2</v>
      </c>
      <c r="Q1881" s="86"/>
      <c r="R1881" s="86"/>
      <c r="S1881" s="88">
        <v>1</v>
      </c>
      <c r="T1881" s="86"/>
      <c r="U1881" s="86"/>
      <c r="V1881" s="56"/>
    </row>
    <row r="1882" spans="1:22" ht="30" x14ac:dyDescent="0.25">
      <c r="A1882" s="25">
        <v>1871</v>
      </c>
      <c r="B1882" s="89" t="s">
        <v>136</v>
      </c>
      <c r="C1882" s="90" t="s">
        <v>87</v>
      </c>
      <c r="D1882" s="89" t="s">
        <v>27</v>
      </c>
      <c r="E1882" s="89"/>
      <c r="F1882" s="89"/>
      <c r="G1882" s="163"/>
      <c r="H1882" s="190">
        <v>232000</v>
      </c>
      <c r="I1882" s="89" t="s">
        <v>52</v>
      </c>
      <c r="J1882" s="60"/>
      <c r="K1882" s="60"/>
      <c r="L1882" s="60"/>
      <c r="M1882" s="60">
        <v>1</v>
      </c>
      <c r="N1882" s="60"/>
      <c r="O1882" s="60"/>
      <c r="P1882" s="60"/>
      <c r="Q1882" s="60"/>
      <c r="R1882" s="60"/>
      <c r="S1882" s="60"/>
      <c r="T1882" s="60"/>
      <c r="U1882" s="60"/>
      <c r="V1882" s="56"/>
    </row>
    <row r="1883" spans="1:22" x14ac:dyDescent="0.25">
      <c r="A1883" s="25">
        <v>1872</v>
      </c>
      <c r="B1883" s="23"/>
      <c r="C1883" s="14" t="s">
        <v>408</v>
      </c>
      <c r="D1883" s="23"/>
      <c r="E1883" s="84">
        <v>3</v>
      </c>
      <c r="F1883" s="23" t="s">
        <v>128</v>
      </c>
      <c r="G1883" s="107">
        <v>45000</v>
      </c>
      <c r="H1883" s="165">
        <f>E1883*G1883</f>
        <v>135000</v>
      </c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56"/>
    </row>
    <row r="1884" spans="1:22" x14ac:dyDescent="0.25">
      <c r="A1884" s="25">
        <v>1873</v>
      </c>
      <c r="B1884" s="23"/>
      <c r="C1884" s="16" t="s">
        <v>323</v>
      </c>
      <c r="D1884" s="23"/>
      <c r="E1884" s="8">
        <v>2</v>
      </c>
      <c r="F1884" s="23" t="s">
        <v>128</v>
      </c>
      <c r="G1884" s="107">
        <v>11250</v>
      </c>
      <c r="H1884" s="165">
        <f t="shared" ref="H1884:H1895" si="133">E1884*G1884</f>
        <v>22500</v>
      </c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56"/>
    </row>
    <row r="1885" spans="1:22" x14ac:dyDescent="0.25">
      <c r="A1885" s="25">
        <v>1874</v>
      </c>
      <c r="B1885" s="23"/>
      <c r="C1885" s="16" t="s">
        <v>324</v>
      </c>
      <c r="D1885" s="23"/>
      <c r="E1885" s="8">
        <v>2</v>
      </c>
      <c r="F1885" s="23" t="s">
        <v>128</v>
      </c>
      <c r="G1885" s="107">
        <v>6500</v>
      </c>
      <c r="H1885" s="165">
        <f t="shared" si="133"/>
        <v>13000</v>
      </c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56"/>
    </row>
    <row r="1886" spans="1:22" x14ac:dyDescent="0.25">
      <c r="A1886" s="25">
        <v>1875</v>
      </c>
      <c r="B1886" s="23"/>
      <c r="C1886" s="16" t="s">
        <v>727</v>
      </c>
      <c r="D1886" s="23"/>
      <c r="E1886" s="8">
        <v>2</v>
      </c>
      <c r="F1886" s="23" t="s">
        <v>128</v>
      </c>
      <c r="G1886" s="107">
        <v>6000</v>
      </c>
      <c r="H1886" s="165">
        <f t="shared" si="133"/>
        <v>12000</v>
      </c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56"/>
    </row>
    <row r="1887" spans="1:22" x14ac:dyDescent="0.25">
      <c r="A1887" s="25">
        <v>1876</v>
      </c>
      <c r="B1887" s="23"/>
      <c r="C1887" s="16" t="s">
        <v>326</v>
      </c>
      <c r="D1887" s="23"/>
      <c r="E1887" s="8">
        <v>2</v>
      </c>
      <c r="F1887" s="23" t="s">
        <v>128</v>
      </c>
      <c r="G1887" s="107">
        <v>5875</v>
      </c>
      <c r="H1887" s="165">
        <f t="shared" si="133"/>
        <v>11750</v>
      </c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56"/>
    </row>
    <row r="1888" spans="1:22" x14ac:dyDescent="0.25">
      <c r="A1888" s="25">
        <v>1877</v>
      </c>
      <c r="B1888" s="23"/>
      <c r="C1888" s="16" t="s">
        <v>327</v>
      </c>
      <c r="D1888" s="23"/>
      <c r="E1888" s="8">
        <v>2</v>
      </c>
      <c r="F1888" s="23" t="s">
        <v>128</v>
      </c>
      <c r="G1888" s="107">
        <v>4500</v>
      </c>
      <c r="H1888" s="165">
        <f t="shared" si="133"/>
        <v>9000</v>
      </c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56"/>
    </row>
    <row r="1889" spans="1:22" x14ac:dyDescent="0.25">
      <c r="A1889" s="25">
        <v>1878</v>
      </c>
      <c r="B1889" s="23"/>
      <c r="C1889" s="16" t="s">
        <v>328</v>
      </c>
      <c r="D1889" s="23"/>
      <c r="E1889" s="8">
        <v>2</v>
      </c>
      <c r="F1889" s="23" t="s">
        <v>128</v>
      </c>
      <c r="G1889" s="107">
        <v>3737.5</v>
      </c>
      <c r="H1889" s="165">
        <f t="shared" si="133"/>
        <v>7475</v>
      </c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56"/>
    </row>
    <row r="1890" spans="1:22" x14ac:dyDescent="0.25">
      <c r="A1890" s="25">
        <v>1879</v>
      </c>
      <c r="B1890" s="23"/>
      <c r="C1890" s="16" t="s">
        <v>329</v>
      </c>
      <c r="D1890" s="23"/>
      <c r="E1890" s="8">
        <v>2</v>
      </c>
      <c r="F1890" s="23" t="s">
        <v>128</v>
      </c>
      <c r="G1890" s="107">
        <v>3125</v>
      </c>
      <c r="H1890" s="165">
        <f t="shared" si="133"/>
        <v>6250</v>
      </c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56"/>
    </row>
    <row r="1891" spans="1:22" x14ac:dyDescent="0.25">
      <c r="A1891" s="25">
        <v>1880</v>
      </c>
      <c r="B1891" s="23"/>
      <c r="C1891" s="16" t="s">
        <v>330</v>
      </c>
      <c r="D1891" s="23"/>
      <c r="E1891" s="8">
        <v>2</v>
      </c>
      <c r="F1891" s="23" t="s">
        <v>128</v>
      </c>
      <c r="G1891" s="107">
        <v>3125</v>
      </c>
      <c r="H1891" s="165">
        <f t="shared" si="133"/>
        <v>6250</v>
      </c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56"/>
    </row>
    <row r="1892" spans="1:22" x14ac:dyDescent="0.25">
      <c r="A1892" s="25">
        <v>1881</v>
      </c>
      <c r="B1892" s="23"/>
      <c r="C1892" s="16" t="s">
        <v>331</v>
      </c>
      <c r="D1892" s="23"/>
      <c r="E1892" s="8">
        <v>2</v>
      </c>
      <c r="F1892" s="23" t="s">
        <v>128</v>
      </c>
      <c r="G1892" s="107">
        <v>2000</v>
      </c>
      <c r="H1892" s="165">
        <f t="shared" si="133"/>
        <v>4000</v>
      </c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56"/>
    </row>
    <row r="1893" spans="1:22" x14ac:dyDescent="0.25">
      <c r="A1893" s="25">
        <v>1882</v>
      </c>
      <c r="B1893" s="23"/>
      <c r="C1893" s="16" t="s">
        <v>332</v>
      </c>
      <c r="D1893" s="23"/>
      <c r="E1893" s="8">
        <v>2</v>
      </c>
      <c r="F1893" s="23" t="s">
        <v>128</v>
      </c>
      <c r="G1893" s="107">
        <v>1062.5</v>
      </c>
      <c r="H1893" s="165">
        <f t="shared" si="133"/>
        <v>2125</v>
      </c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56"/>
    </row>
    <row r="1894" spans="1:22" x14ac:dyDescent="0.25">
      <c r="A1894" s="25">
        <v>1883</v>
      </c>
      <c r="B1894" s="23"/>
      <c r="C1894" s="16" t="s">
        <v>333</v>
      </c>
      <c r="D1894" s="23"/>
      <c r="E1894" s="8">
        <v>2</v>
      </c>
      <c r="F1894" s="23" t="s">
        <v>128</v>
      </c>
      <c r="G1894" s="107">
        <v>975</v>
      </c>
      <c r="H1894" s="165">
        <f t="shared" si="133"/>
        <v>1950</v>
      </c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56"/>
    </row>
    <row r="1895" spans="1:22" x14ac:dyDescent="0.25">
      <c r="A1895" s="25">
        <v>1884</v>
      </c>
      <c r="B1895" s="23"/>
      <c r="C1895" s="1" t="s">
        <v>334</v>
      </c>
      <c r="D1895" s="23"/>
      <c r="E1895" s="8">
        <v>2</v>
      </c>
      <c r="F1895" s="23" t="s">
        <v>128</v>
      </c>
      <c r="G1895" s="107">
        <v>350</v>
      </c>
      <c r="H1895" s="165">
        <f t="shared" si="133"/>
        <v>700</v>
      </c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56"/>
    </row>
    <row r="1896" spans="1:22" x14ac:dyDescent="0.25">
      <c r="A1896" s="25">
        <v>1885</v>
      </c>
      <c r="B1896" s="23"/>
      <c r="C1896" s="14"/>
      <c r="D1896" s="23"/>
      <c r="E1896" s="84"/>
      <c r="F1896" s="23"/>
      <c r="G1896" s="165"/>
      <c r="H1896" s="165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56"/>
    </row>
    <row r="1897" spans="1:22" ht="30" x14ac:dyDescent="0.25">
      <c r="A1897" s="25">
        <v>1886</v>
      </c>
      <c r="B1897" s="89" t="s">
        <v>136</v>
      </c>
      <c r="C1897" s="90" t="s">
        <v>105</v>
      </c>
      <c r="D1897" s="89" t="s">
        <v>27</v>
      </c>
      <c r="E1897" s="89"/>
      <c r="F1897" s="89"/>
      <c r="G1897" s="163"/>
      <c r="H1897" s="190">
        <v>45000</v>
      </c>
      <c r="I1897" s="89" t="s">
        <v>52</v>
      </c>
      <c r="J1897" s="60"/>
      <c r="K1897" s="60">
        <v>1</v>
      </c>
      <c r="L1897" s="60"/>
      <c r="M1897" s="60">
        <v>1</v>
      </c>
      <c r="N1897" s="60"/>
      <c r="O1897" s="60"/>
      <c r="P1897" s="60">
        <v>1</v>
      </c>
      <c r="Q1897" s="60"/>
      <c r="R1897" s="60"/>
      <c r="S1897" s="60">
        <v>1</v>
      </c>
      <c r="T1897" s="60"/>
      <c r="U1897" s="60"/>
      <c r="V1897" s="56"/>
    </row>
    <row r="1898" spans="1:22" x14ac:dyDescent="0.25">
      <c r="A1898" s="25">
        <v>1887</v>
      </c>
      <c r="B1898" s="23"/>
      <c r="C1898" s="93" t="s">
        <v>525</v>
      </c>
      <c r="D1898" s="23"/>
      <c r="E1898" s="23">
        <v>3</v>
      </c>
      <c r="F1898" s="23" t="s">
        <v>152</v>
      </c>
      <c r="G1898" s="122">
        <v>15000</v>
      </c>
      <c r="H1898" s="165">
        <f>G1898*E1898</f>
        <v>45000</v>
      </c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56"/>
    </row>
    <row r="1899" spans="1:22" x14ac:dyDescent="0.25">
      <c r="A1899" s="25">
        <v>1888</v>
      </c>
      <c r="B1899" s="23"/>
      <c r="C1899" s="14"/>
      <c r="D1899" s="23"/>
      <c r="E1899" s="84"/>
      <c r="F1899" s="23"/>
      <c r="G1899" s="165"/>
      <c r="H1899" s="165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56"/>
    </row>
    <row r="1900" spans="1:22" ht="30" x14ac:dyDescent="0.25">
      <c r="A1900" s="25">
        <v>1889</v>
      </c>
      <c r="B1900" s="89" t="s">
        <v>136</v>
      </c>
      <c r="C1900" s="90" t="s">
        <v>100</v>
      </c>
      <c r="D1900" s="89" t="s">
        <v>27</v>
      </c>
      <c r="E1900" s="89"/>
      <c r="F1900" s="89"/>
      <c r="G1900" s="163"/>
      <c r="H1900" s="190">
        <v>15760</v>
      </c>
      <c r="I1900" s="89" t="s">
        <v>52</v>
      </c>
      <c r="J1900" s="60">
        <v>1</v>
      </c>
      <c r="K1900" s="60"/>
      <c r="L1900" s="60"/>
      <c r="M1900" s="60"/>
      <c r="N1900" s="60"/>
      <c r="O1900" s="60"/>
      <c r="P1900" s="60"/>
      <c r="Q1900" s="60"/>
      <c r="R1900" s="60"/>
      <c r="S1900" s="60"/>
      <c r="T1900" s="60"/>
      <c r="U1900" s="60"/>
      <c r="V1900" s="56"/>
    </row>
    <row r="1901" spans="1:22" x14ac:dyDescent="0.25">
      <c r="A1901" s="25">
        <v>1890</v>
      </c>
      <c r="B1901" s="23"/>
      <c r="C1901" s="41" t="s">
        <v>1057</v>
      </c>
      <c r="D1901" s="23"/>
      <c r="E1901" s="84">
        <v>1</v>
      </c>
      <c r="F1901" s="23" t="s">
        <v>28</v>
      </c>
      <c r="G1901" s="165">
        <v>15760</v>
      </c>
      <c r="H1901" s="165">
        <v>15760</v>
      </c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56"/>
    </row>
    <row r="1902" spans="1:22" x14ac:dyDescent="0.25">
      <c r="A1902" s="25">
        <v>1891</v>
      </c>
      <c r="B1902" s="23"/>
      <c r="C1902" s="14"/>
      <c r="D1902" s="23"/>
      <c r="E1902" s="84"/>
      <c r="F1902" s="23"/>
      <c r="G1902" s="165"/>
      <c r="H1902" s="165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56"/>
    </row>
    <row r="1903" spans="1:22" ht="30" x14ac:dyDescent="0.25">
      <c r="A1903" s="25">
        <v>1892</v>
      </c>
      <c r="B1903" s="89" t="s">
        <v>136</v>
      </c>
      <c r="C1903" s="90" t="s">
        <v>43</v>
      </c>
      <c r="D1903" s="89" t="s">
        <v>27</v>
      </c>
      <c r="E1903" s="89"/>
      <c r="F1903" s="89"/>
      <c r="G1903" s="163"/>
      <c r="H1903" s="190">
        <v>193800</v>
      </c>
      <c r="I1903" s="89" t="s">
        <v>52</v>
      </c>
      <c r="J1903" s="60">
        <v>1</v>
      </c>
      <c r="K1903" s="60"/>
      <c r="L1903" s="60"/>
      <c r="M1903" s="60"/>
      <c r="N1903" s="60"/>
      <c r="O1903" s="60">
        <v>1</v>
      </c>
      <c r="P1903" s="60">
        <v>1</v>
      </c>
      <c r="Q1903" s="60"/>
      <c r="R1903" s="60"/>
      <c r="S1903" s="60"/>
      <c r="T1903" s="60"/>
      <c r="U1903" s="60"/>
      <c r="V1903" s="56"/>
    </row>
    <row r="1904" spans="1:22" x14ac:dyDescent="0.25">
      <c r="A1904" s="25">
        <v>1893</v>
      </c>
      <c r="B1904" s="23"/>
      <c r="C1904" s="11" t="s">
        <v>1007</v>
      </c>
      <c r="D1904" s="23"/>
      <c r="E1904" s="2">
        <v>3</v>
      </c>
      <c r="F1904" s="2" t="s">
        <v>152</v>
      </c>
      <c r="G1904" s="13">
        <v>48000</v>
      </c>
      <c r="H1904" s="165">
        <f>G1904*E1904</f>
        <v>144000</v>
      </c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56"/>
    </row>
    <row r="1905" spans="1:22" x14ac:dyDescent="0.25">
      <c r="A1905" s="25">
        <v>1894</v>
      </c>
      <c r="B1905" s="23"/>
      <c r="C1905" s="11" t="s">
        <v>1008</v>
      </c>
      <c r="D1905" s="23"/>
      <c r="E1905" s="2">
        <v>3</v>
      </c>
      <c r="F1905" s="2" t="s">
        <v>152</v>
      </c>
      <c r="G1905" s="13">
        <v>11000</v>
      </c>
      <c r="H1905" s="165">
        <f>G1905*E1905</f>
        <v>33000</v>
      </c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56"/>
    </row>
    <row r="1906" spans="1:22" x14ac:dyDescent="0.25">
      <c r="A1906" s="25">
        <v>1895</v>
      </c>
      <c r="B1906" s="23"/>
      <c r="C1906" s="11" t="s">
        <v>1009</v>
      </c>
      <c r="D1906" s="23"/>
      <c r="E1906" s="2">
        <v>4</v>
      </c>
      <c r="F1906" s="2" t="s">
        <v>152</v>
      </c>
      <c r="G1906" s="13">
        <v>4200</v>
      </c>
      <c r="H1906" s="165">
        <f>G1906*E1906</f>
        <v>16800</v>
      </c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56"/>
    </row>
    <row r="1907" spans="1:22" x14ac:dyDescent="0.25">
      <c r="A1907" s="25">
        <v>1896</v>
      </c>
      <c r="B1907" s="23"/>
      <c r="C1907" s="14"/>
      <c r="D1907" s="23"/>
      <c r="E1907" s="84"/>
      <c r="F1907" s="23"/>
      <c r="G1907" s="165"/>
      <c r="H1907" s="165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56"/>
    </row>
    <row r="1908" spans="1:22" ht="30" x14ac:dyDescent="0.25">
      <c r="A1908" s="25">
        <v>1897</v>
      </c>
      <c r="B1908" s="89" t="s">
        <v>136</v>
      </c>
      <c r="C1908" s="90" t="s">
        <v>109</v>
      </c>
      <c r="D1908" s="89" t="s">
        <v>27</v>
      </c>
      <c r="E1908" s="89"/>
      <c r="F1908" s="89"/>
      <c r="G1908" s="163"/>
      <c r="H1908" s="190">
        <v>27760</v>
      </c>
      <c r="I1908" s="89" t="s">
        <v>52</v>
      </c>
      <c r="J1908" s="60">
        <v>1</v>
      </c>
      <c r="K1908" s="60"/>
      <c r="L1908" s="60"/>
      <c r="M1908" s="60"/>
      <c r="N1908" s="60"/>
      <c r="O1908" s="60"/>
      <c r="P1908" s="60"/>
      <c r="Q1908" s="60"/>
      <c r="R1908" s="60"/>
      <c r="S1908" s="60"/>
      <c r="T1908" s="60"/>
      <c r="U1908" s="60"/>
      <c r="V1908" s="56"/>
    </row>
    <row r="1909" spans="1:22" x14ac:dyDescent="0.25">
      <c r="A1909" s="25">
        <v>1898</v>
      </c>
      <c r="B1909" s="23"/>
      <c r="C1909" s="41" t="s">
        <v>936</v>
      </c>
      <c r="D1909" s="23"/>
      <c r="E1909" s="29">
        <v>1</v>
      </c>
      <c r="F1909" s="2" t="s">
        <v>145</v>
      </c>
      <c r="G1909" s="30">
        <v>15760</v>
      </c>
      <c r="H1909" s="44">
        <v>15760</v>
      </c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56"/>
    </row>
    <row r="1910" spans="1:22" x14ac:dyDescent="0.25">
      <c r="A1910" s="25">
        <v>1899</v>
      </c>
      <c r="B1910" s="23"/>
      <c r="C1910" s="41" t="s">
        <v>940</v>
      </c>
      <c r="D1910" s="23"/>
      <c r="E1910" s="29">
        <v>1</v>
      </c>
      <c r="F1910" s="2" t="s">
        <v>145</v>
      </c>
      <c r="G1910" s="30">
        <v>12000</v>
      </c>
      <c r="H1910" s="44">
        <v>12000</v>
      </c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56"/>
    </row>
    <row r="1911" spans="1:22" x14ac:dyDescent="0.25">
      <c r="A1911" s="25">
        <v>1900</v>
      </c>
      <c r="B1911" s="23"/>
      <c r="C1911" s="41"/>
      <c r="D1911" s="23"/>
      <c r="E1911" s="29"/>
      <c r="F1911" s="29"/>
      <c r="G1911" s="30"/>
      <c r="H1911" s="44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56"/>
    </row>
    <row r="1912" spans="1:22" ht="30" x14ac:dyDescent="0.25">
      <c r="A1912" s="25">
        <v>1901</v>
      </c>
      <c r="B1912" s="85" t="s">
        <v>136</v>
      </c>
      <c r="C1912" s="131" t="s">
        <v>101</v>
      </c>
      <c r="D1912" s="132" t="s">
        <v>27</v>
      </c>
      <c r="E1912" s="132"/>
      <c r="F1912" s="132"/>
      <c r="G1912" s="191"/>
      <c r="H1912" s="192">
        <v>474754</v>
      </c>
      <c r="I1912" s="132" t="s">
        <v>52</v>
      </c>
      <c r="J1912" s="82"/>
      <c r="K1912" s="82"/>
      <c r="L1912" s="82"/>
      <c r="M1912" s="82"/>
      <c r="N1912" s="82"/>
      <c r="O1912" s="82">
        <v>1</v>
      </c>
      <c r="P1912" s="82"/>
      <c r="Q1912" s="82"/>
      <c r="R1912" s="82"/>
      <c r="S1912" s="82"/>
      <c r="T1912" s="82"/>
      <c r="U1912" s="82"/>
      <c r="V1912" s="56"/>
    </row>
    <row r="1913" spans="1:22" x14ac:dyDescent="0.25">
      <c r="A1913" s="25">
        <v>1902</v>
      </c>
      <c r="B1913" s="23"/>
      <c r="C1913" s="14" t="s">
        <v>782</v>
      </c>
      <c r="D1913" s="23"/>
      <c r="E1913" s="84"/>
      <c r="F1913" s="23"/>
      <c r="G1913" s="165"/>
      <c r="H1913" s="165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56"/>
    </row>
    <row r="1914" spans="1:22" x14ac:dyDescent="0.25">
      <c r="A1914" s="25">
        <v>1903</v>
      </c>
      <c r="B1914" s="23"/>
      <c r="C1914" s="11" t="s">
        <v>778</v>
      </c>
      <c r="D1914" s="23"/>
      <c r="E1914" s="2">
        <v>2</v>
      </c>
      <c r="F1914" s="2" t="s">
        <v>152</v>
      </c>
      <c r="G1914" s="24">
        <v>47000</v>
      </c>
      <c r="H1914" s="165">
        <f>E1914*G1914</f>
        <v>94000</v>
      </c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56"/>
    </row>
    <row r="1915" spans="1:22" x14ac:dyDescent="0.25">
      <c r="A1915" s="25">
        <v>1904</v>
      </c>
      <c r="B1915" s="23"/>
      <c r="C1915" s="11" t="s">
        <v>779</v>
      </c>
      <c r="D1915" s="23"/>
      <c r="E1915" s="2">
        <v>2</v>
      </c>
      <c r="F1915" s="2" t="s">
        <v>152</v>
      </c>
      <c r="G1915" s="24">
        <v>46000</v>
      </c>
      <c r="H1915" s="165">
        <f>E1915*G1915</f>
        <v>92000</v>
      </c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56"/>
    </row>
    <row r="1916" spans="1:22" x14ac:dyDescent="0.25">
      <c r="A1916" s="25">
        <v>1905</v>
      </c>
      <c r="B1916" s="23"/>
      <c r="C1916" s="11" t="s">
        <v>780</v>
      </c>
      <c r="D1916" s="23"/>
      <c r="E1916" s="2">
        <v>2</v>
      </c>
      <c r="F1916" s="2" t="s">
        <v>152</v>
      </c>
      <c r="G1916" s="24">
        <v>49877</v>
      </c>
      <c r="H1916" s="165">
        <f>E1916*G1916</f>
        <v>99754</v>
      </c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56"/>
    </row>
    <row r="1917" spans="1:22" x14ac:dyDescent="0.25">
      <c r="A1917" s="25">
        <v>1906</v>
      </c>
      <c r="B1917" s="23"/>
      <c r="C1917" s="11" t="s">
        <v>408</v>
      </c>
      <c r="D1917" s="23"/>
      <c r="E1917" s="2">
        <v>2</v>
      </c>
      <c r="F1917" s="2" t="s">
        <v>152</v>
      </c>
      <c r="G1917" s="24">
        <v>49500</v>
      </c>
      <c r="H1917" s="165">
        <f>E1917*G1917</f>
        <v>99000</v>
      </c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56"/>
    </row>
    <row r="1918" spans="1:22" x14ac:dyDescent="0.25">
      <c r="A1918" s="25">
        <v>1907</v>
      </c>
      <c r="B1918" s="23"/>
      <c r="C1918" s="11" t="s">
        <v>781</v>
      </c>
      <c r="D1918" s="23"/>
      <c r="E1918" s="2">
        <v>2</v>
      </c>
      <c r="F1918" s="2" t="s">
        <v>152</v>
      </c>
      <c r="G1918" s="24">
        <v>45000</v>
      </c>
      <c r="H1918" s="165">
        <f>E1918*G1918</f>
        <v>90000</v>
      </c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56"/>
    </row>
    <row r="1919" spans="1:22" x14ac:dyDescent="0.25">
      <c r="A1919" s="25">
        <v>1908</v>
      </c>
      <c r="B1919" s="23"/>
      <c r="C1919" s="14"/>
      <c r="D1919" s="23"/>
      <c r="E1919" s="84"/>
      <c r="F1919" s="23"/>
      <c r="G1919" s="165"/>
      <c r="H1919" s="165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56"/>
    </row>
    <row r="1920" spans="1:22" ht="30" x14ac:dyDescent="0.25">
      <c r="A1920" s="25">
        <v>1909</v>
      </c>
      <c r="B1920" s="86" t="s">
        <v>138</v>
      </c>
      <c r="C1920" s="87" t="s">
        <v>139</v>
      </c>
      <c r="D1920" s="86" t="s">
        <v>26</v>
      </c>
      <c r="E1920" s="86"/>
      <c r="F1920" s="86"/>
      <c r="G1920" s="161"/>
      <c r="H1920" s="162">
        <v>1150000</v>
      </c>
      <c r="I1920" s="86" t="s">
        <v>52</v>
      </c>
      <c r="J1920" s="86"/>
      <c r="K1920" s="86"/>
      <c r="L1920" s="86"/>
      <c r="M1920" s="88">
        <v>2</v>
      </c>
      <c r="N1920" s="86"/>
      <c r="O1920" s="86"/>
      <c r="P1920" s="86"/>
      <c r="Q1920" s="86"/>
      <c r="R1920" s="86"/>
      <c r="S1920" s="86"/>
      <c r="T1920" s="86"/>
      <c r="U1920" s="86"/>
      <c r="V1920" s="56"/>
    </row>
    <row r="1921" spans="1:22" ht="30" x14ac:dyDescent="0.25">
      <c r="A1921" s="25">
        <v>1910</v>
      </c>
      <c r="B1921" s="89" t="s">
        <v>138</v>
      </c>
      <c r="C1921" s="90" t="s">
        <v>126</v>
      </c>
      <c r="D1921" s="89" t="s">
        <v>27</v>
      </c>
      <c r="E1921" s="89"/>
      <c r="F1921" s="89"/>
      <c r="G1921" s="163"/>
      <c r="H1921" s="167">
        <v>1150000</v>
      </c>
      <c r="I1921" s="89" t="s">
        <v>52</v>
      </c>
      <c r="J1921" s="60"/>
      <c r="K1921" s="60"/>
      <c r="L1921" s="60"/>
      <c r="M1921" s="60">
        <v>2</v>
      </c>
      <c r="N1921" s="60"/>
      <c r="O1921" s="60"/>
      <c r="P1921" s="60"/>
      <c r="Q1921" s="60"/>
      <c r="R1921" s="60"/>
      <c r="S1921" s="60"/>
      <c r="T1921" s="60"/>
      <c r="U1921" s="60"/>
      <c r="V1921" s="56"/>
    </row>
    <row r="1922" spans="1:22" x14ac:dyDescent="0.25">
      <c r="A1922" s="25">
        <v>1911</v>
      </c>
      <c r="B1922" s="23"/>
      <c r="C1922" s="14" t="s">
        <v>140</v>
      </c>
      <c r="D1922" s="23"/>
      <c r="E1922" s="84"/>
      <c r="F1922" s="23"/>
      <c r="G1922" s="165"/>
      <c r="H1922" s="165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56"/>
    </row>
    <row r="1923" spans="1:22" ht="30" x14ac:dyDescent="0.25">
      <c r="A1923" s="25">
        <v>1912</v>
      </c>
      <c r="B1923" s="23"/>
      <c r="C1923" s="221" t="s">
        <v>1444</v>
      </c>
      <c r="D1923" s="23"/>
      <c r="E1923" s="222">
        <v>2</v>
      </c>
      <c r="F1923" s="8" t="s">
        <v>407</v>
      </c>
      <c r="G1923" s="222">
        <v>29500</v>
      </c>
      <c r="H1923" s="165">
        <f>E1923*G1923</f>
        <v>59000</v>
      </c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56"/>
    </row>
    <row r="1924" spans="1:22" ht="15" x14ac:dyDescent="0.25">
      <c r="A1924" s="25">
        <v>1913</v>
      </c>
      <c r="B1924" s="23"/>
      <c r="C1924" s="221" t="s">
        <v>1445</v>
      </c>
      <c r="D1924" s="23"/>
      <c r="E1924" s="222">
        <v>20</v>
      </c>
      <c r="F1924" s="8" t="s">
        <v>407</v>
      </c>
      <c r="G1924" s="222">
        <v>4500</v>
      </c>
      <c r="H1924" s="165">
        <f t="shared" ref="H1924:H1942" si="134">E1924*G1924</f>
        <v>90000</v>
      </c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56"/>
    </row>
    <row r="1925" spans="1:22" ht="15" x14ac:dyDescent="0.25">
      <c r="A1925" s="25">
        <v>1914</v>
      </c>
      <c r="B1925" s="23"/>
      <c r="C1925" s="221" t="s">
        <v>1446</v>
      </c>
      <c r="D1925" s="23"/>
      <c r="E1925" s="222">
        <v>2</v>
      </c>
      <c r="F1925" s="8" t="s">
        <v>407</v>
      </c>
      <c r="G1925" s="222">
        <v>7750</v>
      </c>
      <c r="H1925" s="165">
        <f t="shared" si="134"/>
        <v>15500</v>
      </c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56"/>
    </row>
    <row r="1926" spans="1:22" ht="30" x14ac:dyDescent="0.25">
      <c r="A1926" s="25">
        <v>1915</v>
      </c>
      <c r="B1926" s="23"/>
      <c r="C1926" s="221" t="s">
        <v>1447</v>
      </c>
      <c r="D1926" s="23"/>
      <c r="E1926" s="222">
        <v>4</v>
      </c>
      <c r="F1926" s="8" t="s">
        <v>407</v>
      </c>
      <c r="G1926" s="222">
        <v>23800</v>
      </c>
      <c r="H1926" s="165">
        <f t="shared" si="134"/>
        <v>95200</v>
      </c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56"/>
    </row>
    <row r="1927" spans="1:22" ht="15" x14ac:dyDescent="0.25">
      <c r="A1927" s="25">
        <v>1916</v>
      </c>
      <c r="B1927" s="23"/>
      <c r="C1927" s="221" t="s">
        <v>1448</v>
      </c>
      <c r="D1927" s="23"/>
      <c r="E1927" s="222">
        <v>4</v>
      </c>
      <c r="F1927" s="8" t="s">
        <v>407</v>
      </c>
      <c r="G1927" s="222">
        <v>14175</v>
      </c>
      <c r="H1927" s="165">
        <f t="shared" si="134"/>
        <v>56700</v>
      </c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56"/>
    </row>
    <row r="1928" spans="1:22" ht="15" x14ac:dyDescent="0.25">
      <c r="A1928" s="25">
        <v>1917</v>
      </c>
      <c r="B1928" s="23"/>
      <c r="C1928" s="221" t="s">
        <v>1449</v>
      </c>
      <c r="D1928" s="23"/>
      <c r="E1928" s="222">
        <v>2</v>
      </c>
      <c r="F1928" s="8" t="s">
        <v>407</v>
      </c>
      <c r="G1928" s="222">
        <v>4100</v>
      </c>
      <c r="H1928" s="165">
        <f t="shared" si="134"/>
        <v>8200</v>
      </c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56"/>
    </row>
    <row r="1929" spans="1:22" ht="30" x14ac:dyDescent="0.25">
      <c r="A1929" s="25">
        <v>1918</v>
      </c>
      <c r="B1929" s="23"/>
      <c r="C1929" s="221" t="s">
        <v>1450</v>
      </c>
      <c r="D1929" s="23"/>
      <c r="E1929" s="222">
        <v>2</v>
      </c>
      <c r="F1929" s="8" t="s">
        <v>407</v>
      </c>
      <c r="G1929" s="222">
        <v>4300</v>
      </c>
      <c r="H1929" s="165">
        <f t="shared" si="134"/>
        <v>8600</v>
      </c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56"/>
    </row>
    <row r="1930" spans="1:22" ht="15" x14ac:dyDescent="0.25">
      <c r="A1930" s="25">
        <v>1919</v>
      </c>
      <c r="B1930" s="23"/>
      <c r="C1930" s="221" t="s">
        <v>1451</v>
      </c>
      <c r="D1930" s="23"/>
      <c r="E1930" s="222">
        <v>16</v>
      </c>
      <c r="F1930" s="8" t="s">
        <v>407</v>
      </c>
      <c r="G1930" s="222">
        <v>8900</v>
      </c>
      <c r="H1930" s="165">
        <f t="shared" si="134"/>
        <v>142400</v>
      </c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56"/>
    </row>
    <row r="1931" spans="1:22" ht="15" x14ac:dyDescent="0.25">
      <c r="A1931" s="25">
        <v>1920</v>
      </c>
      <c r="B1931" s="23"/>
      <c r="C1931" s="221" t="s">
        <v>1452</v>
      </c>
      <c r="D1931" s="23"/>
      <c r="E1931" s="222">
        <v>16</v>
      </c>
      <c r="F1931" s="8" t="s">
        <v>407</v>
      </c>
      <c r="G1931" s="222">
        <v>9455</v>
      </c>
      <c r="H1931" s="165">
        <f t="shared" si="134"/>
        <v>151280</v>
      </c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56"/>
    </row>
    <row r="1932" spans="1:22" ht="30" x14ac:dyDescent="0.25">
      <c r="A1932" s="25">
        <v>1921</v>
      </c>
      <c r="B1932" s="23"/>
      <c r="C1932" s="221" t="s">
        <v>1453</v>
      </c>
      <c r="D1932" s="23"/>
      <c r="E1932" s="222">
        <v>2</v>
      </c>
      <c r="F1932" s="8" t="s">
        <v>407</v>
      </c>
      <c r="G1932" s="222">
        <v>14200</v>
      </c>
      <c r="H1932" s="165">
        <f t="shared" si="134"/>
        <v>28400</v>
      </c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56"/>
    </row>
    <row r="1933" spans="1:22" ht="15" x14ac:dyDescent="0.25">
      <c r="A1933" s="25">
        <v>1922</v>
      </c>
      <c r="B1933" s="23"/>
      <c r="C1933" s="221" t="s">
        <v>1454</v>
      </c>
      <c r="D1933" s="23"/>
      <c r="E1933" s="222">
        <v>20</v>
      </c>
      <c r="F1933" s="8" t="s">
        <v>407</v>
      </c>
      <c r="G1933" s="222">
        <v>14000</v>
      </c>
      <c r="H1933" s="165">
        <f t="shared" si="134"/>
        <v>280000</v>
      </c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56"/>
    </row>
    <row r="1934" spans="1:22" ht="15" x14ac:dyDescent="0.25">
      <c r="A1934" s="25">
        <v>1923</v>
      </c>
      <c r="B1934" s="23"/>
      <c r="C1934" s="221" t="s">
        <v>1455</v>
      </c>
      <c r="D1934" s="23"/>
      <c r="E1934" s="222">
        <v>2</v>
      </c>
      <c r="F1934" s="8" t="s">
        <v>407</v>
      </c>
      <c r="G1934" s="222">
        <v>22005</v>
      </c>
      <c r="H1934" s="165">
        <f t="shared" si="134"/>
        <v>44010</v>
      </c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56"/>
    </row>
    <row r="1935" spans="1:22" ht="15" x14ac:dyDescent="0.25">
      <c r="A1935" s="25">
        <v>1924</v>
      </c>
      <c r="B1935" s="23"/>
      <c r="C1935" s="221" t="s">
        <v>1456</v>
      </c>
      <c r="D1935" s="23"/>
      <c r="E1935" s="222">
        <v>2</v>
      </c>
      <c r="F1935" s="8" t="s">
        <v>407</v>
      </c>
      <c r="G1935" s="222">
        <v>18000</v>
      </c>
      <c r="H1935" s="165">
        <f t="shared" si="134"/>
        <v>36000</v>
      </c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56"/>
    </row>
    <row r="1936" spans="1:22" ht="15" x14ac:dyDescent="0.25">
      <c r="A1936" s="25">
        <v>1925</v>
      </c>
      <c r="B1936" s="23"/>
      <c r="C1936" s="221" t="s">
        <v>1457</v>
      </c>
      <c r="D1936" s="23"/>
      <c r="E1936" s="222">
        <v>2</v>
      </c>
      <c r="F1936" s="8" t="s">
        <v>407</v>
      </c>
      <c r="G1936" s="222">
        <v>17800</v>
      </c>
      <c r="H1936" s="165">
        <f t="shared" si="134"/>
        <v>35600</v>
      </c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56"/>
    </row>
    <row r="1937" spans="1:22" ht="15" x14ac:dyDescent="0.25">
      <c r="A1937" s="25">
        <v>1926</v>
      </c>
      <c r="B1937" s="23"/>
      <c r="C1937" s="221" t="s">
        <v>1458</v>
      </c>
      <c r="D1937" s="23"/>
      <c r="E1937" s="222">
        <v>2</v>
      </c>
      <c r="F1937" s="8" t="s">
        <v>407</v>
      </c>
      <c r="G1937" s="222">
        <v>8875</v>
      </c>
      <c r="H1937" s="165">
        <f t="shared" si="134"/>
        <v>17750</v>
      </c>
      <c r="I1937" s="223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56"/>
    </row>
    <row r="1938" spans="1:22" ht="15" x14ac:dyDescent="0.25">
      <c r="A1938" s="25">
        <v>1927</v>
      </c>
      <c r="B1938" s="23"/>
      <c r="C1938" s="221" t="s">
        <v>1459</v>
      </c>
      <c r="D1938" s="23"/>
      <c r="E1938" s="222">
        <v>2</v>
      </c>
      <c r="F1938" s="8" t="s">
        <v>407</v>
      </c>
      <c r="G1938" s="222">
        <v>4120</v>
      </c>
      <c r="H1938" s="165">
        <f t="shared" si="134"/>
        <v>8240</v>
      </c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56"/>
    </row>
    <row r="1939" spans="1:22" ht="15" x14ac:dyDescent="0.25">
      <c r="A1939" s="25">
        <v>1928</v>
      </c>
      <c r="B1939" s="23"/>
      <c r="C1939" s="221" t="s">
        <v>1460</v>
      </c>
      <c r="D1939" s="23"/>
      <c r="E1939" s="222">
        <v>2</v>
      </c>
      <c r="F1939" s="8" t="s">
        <v>407</v>
      </c>
      <c r="G1939" s="222">
        <v>2385</v>
      </c>
      <c r="H1939" s="165">
        <f t="shared" si="134"/>
        <v>4770</v>
      </c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56"/>
    </row>
    <row r="1940" spans="1:22" ht="15" x14ac:dyDescent="0.25">
      <c r="A1940" s="25">
        <v>1929</v>
      </c>
      <c r="B1940" s="23"/>
      <c r="C1940" s="221" t="s">
        <v>1461</v>
      </c>
      <c r="D1940" s="23"/>
      <c r="E1940" s="222">
        <v>2</v>
      </c>
      <c r="F1940" s="8" t="s">
        <v>407</v>
      </c>
      <c r="G1940" s="222">
        <v>4500</v>
      </c>
      <c r="H1940" s="165">
        <f t="shared" si="134"/>
        <v>9000</v>
      </c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56"/>
    </row>
    <row r="1941" spans="1:22" ht="15" x14ac:dyDescent="0.25">
      <c r="A1941" s="25">
        <v>1930</v>
      </c>
      <c r="B1941" s="23"/>
      <c r="C1941" s="221" t="s">
        <v>1462</v>
      </c>
      <c r="D1941" s="23"/>
      <c r="E1941" s="222">
        <v>4</v>
      </c>
      <c r="F1941" s="8" t="s">
        <v>407</v>
      </c>
      <c r="G1941" s="222">
        <v>7750</v>
      </c>
      <c r="H1941" s="165">
        <f t="shared" si="134"/>
        <v>31000</v>
      </c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56"/>
    </row>
    <row r="1942" spans="1:22" ht="15" x14ac:dyDescent="0.25">
      <c r="A1942" s="25">
        <v>1931</v>
      </c>
      <c r="B1942" s="23"/>
      <c r="C1942" s="221" t="s">
        <v>1463</v>
      </c>
      <c r="D1942" s="23"/>
      <c r="E1942" s="222">
        <v>2</v>
      </c>
      <c r="F1942" s="8" t="s">
        <v>407</v>
      </c>
      <c r="G1942" s="222">
        <v>14175</v>
      </c>
      <c r="H1942" s="165">
        <f t="shared" si="134"/>
        <v>28350</v>
      </c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56"/>
    </row>
    <row r="1943" spans="1:22" x14ac:dyDescent="0.25">
      <c r="A1943" s="25">
        <v>1932</v>
      </c>
      <c r="B1943" s="23"/>
      <c r="C1943" s="14"/>
      <c r="D1943" s="23"/>
      <c r="E1943" s="84"/>
      <c r="F1943" s="23"/>
      <c r="G1943" s="165"/>
      <c r="H1943" s="165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56"/>
    </row>
    <row r="1944" spans="1:22" ht="30" x14ac:dyDescent="0.25">
      <c r="A1944" s="25">
        <v>1933</v>
      </c>
      <c r="B1944" s="86" t="s">
        <v>141</v>
      </c>
      <c r="C1944" s="87" t="s">
        <v>142</v>
      </c>
      <c r="D1944" s="86" t="s">
        <v>26</v>
      </c>
      <c r="E1944" s="86"/>
      <c r="F1944" s="86"/>
      <c r="G1944" s="161"/>
      <c r="H1944" s="162">
        <f>H1945+H1952+H1964+H1968+H1972+H1985+H1999+H2005+H2013+H2016+H2020+H2025+H2029+H2071+H2075+H2079+H2115+H2120+H2128+H2131+H2137+H2152+H2158+H2162+H2165+H2195+H2201+H2217+H2223+H2231+H2240+H2245+H2265+H2285+H2294+H2300+H2305+H2326+H2346</f>
        <v>32114618.359999999</v>
      </c>
      <c r="I1944" s="86" t="s">
        <v>52</v>
      </c>
      <c r="J1944" s="88">
        <v>26</v>
      </c>
      <c r="K1944" s="88">
        <v>27</v>
      </c>
      <c r="L1944" s="88">
        <v>24</v>
      </c>
      <c r="M1944" s="88">
        <v>48</v>
      </c>
      <c r="N1944" s="88">
        <v>25</v>
      </c>
      <c r="O1944" s="88">
        <v>25</v>
      </c>
      <c r="P1944" s="88">
        <v>42</v>
      </c>
      <c r="Q1944" s="88">
        <v>25</v>
      </c>
      <c r="R1944" s="88">
        <v>24</v>
      </c>
      <c r="S1944" s="88">
        <v>37</v>
      </c>
      <c r="T1944" s="88">
        <v>24</v>
      </c>
      <c r="U1944" s="88">
        <v>22</v>
      </c>
      <c r="V1944" s="56"/>
    </row>
    <row r="1945" spans="1:22" ht="30" x14ac:dyDescent="0.25">
      <c r="A1945" s="25">
        <v>1934</v>
      </c>
      <c r="B1945" s="89" t="s">
        <v>141</v>
      </c>
      <c r="C1945" s="90" t="s">
        <v>43</v>
      </c>
      <c r="D1945" s="89" t="s">
        <v>27</v>
      </c>
      <c r="E1945" s="89"/>
      <c r="F1945" s="89"/>
      <c r="G1945" s="163"/>
      <c r="H1945" s="167">
        <v>112200</v>
      </c>
      <c r="I1945" s="89" t="s">
        <v>52</v>
      </c>
      <c r="J1945" s="60">
        <v>1</v>
      </c>
      <c r="K1945" s="60">
        <v>1</v>
      </c>
      <c r="L1945" s="60">
        <v>1</v>
      </c>
      <c r="M1945" s="60">
        <v>1</v>
      </c>
      <c r="N1945" s="60">
        <v>1</v>
      </c>
      <c r="O1945" s="60">
        <v>1</v>
      </c>
      <c r="P1945" s="60">
        <v>1</v>
      </c>
      <c r="Q1945" s="60">
        <v>1</v>
      </c>
      <c r="R1945" s="60">
        <v>1</v>
      </c>
      <c r="S1945" s="60">
        <v>1</v>
      </c>
      <c r="T1945" s="60">
        <v>1</v>
      </c>
      <c r="U1945" s="60">
        <v>1</v>
      </c>
      <c r="V1945" s="56"/>
    </row>
    <row r="1946" spans="1:22" x14ac:dyDescent="0.25">
      <c r="A1946" s="25">
        <v>1935</v>
      </c>
      <c r="B1946" s="23"/>
      <c r="C1946" s="11" t="s">
        <v>1010</v>
      </c>
      <c r="D1946" s="23"/>
      <c r="E1946" s="2">
        <v>55</v>
      </c>
      <c r="F1946" s="23" t="s">
        <v>567</v>
      </c>
      <c r="G1946" s="13">
        <v>430</v>
      </c>
      <c r="H1946" s="165">
        <f>G1946*E1946</f>
        <v>23650</v>
      </c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56"/>
    </row>
    <row r="1947" spans="1:22" x14ac:dyDescent="0.25">
      <c r="A1947" s="25">
        <v>1936</v>
      </c>
      <c r="B1947" s="23"/>
      <c r="C1947" s="11" t="s">
        <v>1011</v>
      </c>
      <c r="D1947" s="23"/>
      <c r="E1947" s="2">
        <v>55</v>
      </c>
      <c r="F1947" s="23" t="s">
        <v>567</v>
      </c>
      <c r="G1947" s="13">
        <v>380</v>
      </c>
      <c r="H1947" s="165">
        <f>G1947*E1947</f>
        <v>20900</v>
      </c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56"/>
    </row>
    <row r="1948" spans="1:22" x14ac:dyDescent="0.25">
      <c r="A1948" s="25">
        <v>1937</v>
      </c>
      <c r="B1948" s="23"/>
      <c r="C1948" s="11" t="s">
        <v>1012</v>
      </c>
      <c r="D1948" s="23"/>
      <c r="E1948" s="2">
        <v>55</v>
      </c>
      <c r="F1948" s="7" t="s">
        <v>309</v>
      </c>
      <c r="G1948" s="13">
        <v>420</v>
      </c>
      <c r="H1948" s="165">
        <f>G1948*E1948</f>
        <v>23100</v>
      </c>
      <c r="I1948" s="71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56"/>
    </row>
    <row r="1949" spans="1:22" x14ac:dyDescent="0.25">
      <c r="A1949" s="25">
        <v>1938</v>
      </c>
      <c r="B1949" s="23"/>
      <c r="C1949" s="11" t="s">
        <v>1013</v>
      </c>
      <c r="D1949" s="23"/>
      <c r="E1949" s="2">
        <v>55</v>
      </c>
      <c r="F1949" s="7" t="s">
        <v>309</v>
      </c>
      <c r="G1949" s="13">
        <v>750</v>
      </c>
      <c r="H1949" s="165">
        <f>G1949*E1949</f>
        <v>41250</v>
      </c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56"/>
    </row>
    <row r="1950" spans="1:22" x14ac:dyDescent="0.25">
      <c r="A1950" s="25">
        <v>1939</v>
      </c>
      <c r="B1950" s="23"/>
      <c r="C1950" s="11" t="s">
        <v>1014</v>
      </c>
      <c r="D1950" s="23"/>
      <c r="E1950" s="2">
        <v>55</v>
      </c>
      <c r="F1950" s="7" t="s">
        <v>309</v>
      </c>
      <c r="G1950" s="13">
        <v>60</v>
      </c>
      <c r="H1950" s="165">
        <f>G1950*E1950</f>
        <v>3300</v>
      </c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56"/>
    </row>
    <row r="1951" spans="1:22" x14ac:dyDescent="0.25">
      <c r="A1951" s="25">
        <v>1940</v>
      </c>
      <c r="B1951" s="23"/>
      <c r="C1951" s="14"/>
      <c r="D1951" s="23"/>
      <c r="E1951" s="84"/>
      <c r="F1951" s="23"/>
      <c r="G1951" s="165"/>
      <c r="H1951" s="165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56"/>
    </row>
    <row r="1952" spans="1:22" ht="30" x14ac:dyDescent="0.25">
      <c r="A1952" s="25">
        <v>1941</v>
      </c>
      <c r="B1952" s="89" t="s">
        <v>141</v>
      </c>
      <c r="C1952" s="90" t="s">
        <v>115</v>
      </c>
      <c r="D1952" s="89" t="s">
        <v>27</v>
      </c>
      <c r="E1952" s="89"/>
      <c r="F1952" s="89"/>
      <c r="G1952" s="163"/>
      <c r="H1952" s="167">
        <v>15750</v>
      </c>
      <c r="I1952" s="89" t="s">
        <v>52</v>
      </c>
      <c r="J1952" s="60">
        <v>1</v>
      </c>
      <c r="K1952" s="60">
        <v>1</v>
      </c>
      <c r="L1952" s="60">
        <v>1</v>
      </c>
      <c r="M1952" s="60">
        <v>1</v>
      </c>
      <c r="N1952" s="60">
        <v>1</v>
      </c>
      <c r="O1952" s="60">
        <v>1</v>
      </c>
      <c r="P1952" s="60">
        <v>1</v>
      </c>
      <c r="Q1952" s="60">
        <v>1</v>
      </c>
      <c r="R1952" s="60">
        <v>1</v>
      </c>
      <c r="S1952" s="60">
        <v>1</v>
      </c>
      <c r="T1952" s="60">
        <v>1</v>
      </c>
      <c r="U1952" s="60">
        <v>1</v>
      </c>
      <c r="V1952" s="56"/>
    </row>
    <row r="1953" spans="1:22" x14ac:dyDescent="0.25">
      <c r="A1953" s="25">
        <v>1942</v>
      </c>
      <c r="B1953" s="23"/>
      <c r="C1953" s="21" t="s">
        <v>1127</v>
      </c>
      <c r="D1953" s="23"/>
      <c r="E1953" s="67">
        <f>4*3</f>
        <v>12</v>
      </c>
      <c r="F1953" s="7" t="s">
        <v>309</v>
      </c>
      <c r="G1953" s="173">
        <v>200</v>
      </c>
      <c r="H1953" s="165">
        <f>G1953*E1953</f>
        <v>2400</v>
      </c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56"/>
    </row>
    <row r="1954" spans="1:22" x14ac:dyDescent="0.25">
      <c r="A1954" s="25">
        <v>1943</v>
      </c>
      <c r="B1954" s="23"/>
      <c r="C1954" s="21" t="s">
        <v>1128</v>
      </c>
      <c r="D1954" s="23"/>
      <c r="E1954" s="67">
        <f>5*3</f>
        <v>15</v>
      </c>
      <c r="F1954" s="7" t="s">
        <v>309</v>
      </c>
      <c r="G1954" s="173">
        <v>450</v>
      </c>
      <c r="H1954" s="165">
        <f t="shared" ref="H1954:H1962" si="135">G1954*E1954</f>
        <v>6750</v>
      </c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56"/>
    </row>
    <row r="1955" spans="1:22" x14ac:dyDescent="0.25">
      <c r="A1955" s="25">
        <v>1944</v>
      </c>
      <c r="B1955" s="23"/>
      <c r="C1955" s="21" t="s">
        <v>391</v>
      </c>
      <c r="D1955" s="23"/>
      <c r="E1955" s="67">
        <f>4*3</f>
        <v>12</v>
      </c>
      <c r="F1955" s="68" t="s">
        <v>915</v>
      </c>
      <c r="G1955" s="173">
        <v>45</v>
      </c>
      <c r="H1955" s="165">
        <f t="shared" si="135"/>
        <v>540</v>
      </c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56"/>
    </row>
    <row r="1956" spans="1:22" x14ac:dyDescent="0.25">
      <c r="A1956" s="25">
        <v>1945</v>
      </c>
      <c r="B1956" s="23"/>
      <c r="C1956" s="21" t="s">
        <v>392</v>
      </c>
      <c r="D1956" s="23"/>
      <c r="E1956" s="67">
        <f>2*3</f>
        <v>6</v>
      </c>
      <c r="F1956" s="7" t="s">
        <v>309</v>
      </c>
      <c r="G1956" s="173">
        <v>115</v>
      </c>
      <c r="H1956" s="165">
        <f t="shared" si="135"/>
        <v>690</v>
      </c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56"/>
    </row>
    <row r="1957" spans="1:22" x14ac:dyDescent="0.25">
      <c r="A1957" s="25">
        <v>1946</v>
      </c>
      <c r="B1957" s="23"/>
      <c r="C1957" s="21" t="s">
        <v>998</v>
      </c>
      <c r="D1957" s="23"/>
      <c r="E1957" s="67">
        <f>2*3</f>
        <v>6</v>
      </c>
      <c r="F1957" s="7" t="s">
        <v>309</v>
      </c>
      <c r="G1957" s="173">
        <v>150</v>
      </c>
      <c r="H1957" s="165">
        <f t="shared" si="135"/>
        <v>900</v>
      </c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56"/>
    </row>
    <row r="1958" spans="1:22" x14ac:dyDescent="0.25">
      <c r="A1958" s="25">
        <v>1947</v>
      </c>
      <c r="B1958" s="23"/>
      <c r="C1958" s="21" t="s">
        <v>393</v>
      </c>
      <c r="D1958" s="23"/>
      <c r="E1958" s="67">
        <v>3</v>
      </c>
      <c r="F1958" s="23" t="s">
        <v>567</v>
      </c>
      <c r="G1958" s="173">
        <v>150</v>
      </c>
      <c r="H1958" s="165">
        <f t="shared" si="135"/>
        <v>450</v>
      </c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56"/>
    </row>
    <row r="1959" spans="1:22" x14ac:dyDescent="0.25">
      <c r="A1959" s="25">
        <v>1948</v>
      </c>
      <c r="B1959" s="23"/>
      <c r="C1959" s="21" t="s">
        <v>394</v>
      </c>
      <c r="D1959" s="23"/>
      <c r="E1959" s="67">
        <f>3*3</f>
        <v>9</v>
      </c>
      <c r="F1959" s="7" t="s">
        <v>309</v>
      </c>
      <c r="G1959" s="173">
        <v>110</v>
      </c>
      <c r="H1959" s="165">
        <f t="shared" si="135"/>
        <v>990</v>
      </c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56"/>
    </row>
    <row r="1960" spans="1:22" x14ac:dyDescent="0.25">
      <c r="A1960" s="25">
        <v>1949</v>
      </c>
      <c r="B1960" s="23"/>
      <c r="C1960" s="21" t="s">
        <v>395</v>
      </c>
      <c r="D1960" s="23"/>
      <c r="E1960" s="67">
        <v>3</v>
      </c>
      <c r="F1960" s="7" t="s">
        <v>309</v>
      </c>
      <c r="G1960" s="173">
        <v>50</v>
      </c>
      <c r="H1960" s="165">
        <f t="shared" si="135"/>
        <v>150</v>
      </c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56"/>
    </row>
    <row r="1961" spans="1:22" x14ac:dyDescent="0.25">
      <c r="A1961" s="25">
        <v>1950</v>
      </c>
      <c r="B1961" s="23"/>
      <c r="C1961" s="21" t="s">
        <v>397</v>
      </c>
      <c r="D1961" s="23"/>
      <c r="E1961" s="67">
        <f>3*4</f>
        <v>12</v>
      </c>
      <c r="F1961" s="7" t="s">
        <v>309</v>
      </c>
      <c r="G1961" s="173">
        <v>120</v>
      </c>
      <c r="H1961" s="165">
        <f t="shared" si="135"/>
        <v>1440</v>
      </c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56"/>
    </row>
    <row r="1962" spans="1:22" x14ac:dyDescent="0.25">
      <c r="A1962" s="25">
        <v>1951</v>
      </c>
      <c r="B1962" s="23"/>
      <c r="C1962" s="21" t="s">
        <v>1129</v>
      </c>
      <c r="D1962" s="23"/>
      <c r="E1962" s="67">
        <f>3*4</f>
        <v>12</v>
      </c>
      <c r="F1962" s="7" t="s">
        <v>309</v>
      </c>
      <c r="G1962" s="173">
        <v>120</v>
      </c>
      <c r="H1962" s="165">
        <f t="shared" si="135"/>
        <v>1440</v>
      </c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56"/>
    </row>
    <row r="1963" spans="1:22" x14ac:dyDescent="0.25">
      <c r="A1963" s="25">
        <v>1952</v>
      </c>
      <c r="B1963" s="23"/>
      <c r="C1963" s="14"/>
      <c r="D1963" s="23"/>
      <c r="E1963" s="84"/>
      <c r="F1963" s="23"/>
      <c r="G1963" s="165"/>
      <c r="H1963" s="165"/>
      <c r="I1963" s="66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56"/>
    </row>
    <row r="1964" spans="1:22" ht="30" x14ac:dyDescent="0.25">
      <c r="A1964" s="25">
        <v>1953</v>
      </c>
      <c r="B1964" s="89" t="s">
        <v>141</v>
      </c>
      <c r="C1964" s="90" t="s">
        <v>143</v>
      </c>
      <c r="D1964" s="89" t="s">
        <v>27</v>
      </c>
      <c r="E1964" s="89"/>
      <c r="F1964" s="89"/>
      <c r="G1964" s="163"/>
      <c r="H1964" s="167">
        <v>147200</v>
      </c>
      <c r="I1964" s="89" t="s">
        <v>52</v>
      </c>
      <c r="J1964" s="60">
        <v>1</v>
      </c>
      <c r="K1964" s="60">
        <v>1</v>
      </c>
      <c r="L1964" s="60">
        <v>1</v>
      </c>
      <c r="M1964" s="60">
        <v>1</v>
      </c>
      <c r="N1964" s="60">
        <v>1</v>
      </c>
      <c r="O1964" s="60">
        <v>1</v>
      </c>
      <c r="P1964" s="60">
        <v>1</v>
      </c>
      <c r="Q1964" s="60">
        <v>1</v>
      </c>
      <c r="R1964" s="60">
        <v>1</v>
      </c>
      <c r="S1964" s="60">
        <v>1</v>
      </c>
      <c r="T1964" s="60">
        <v>1</v>
      </c>
      <c r="U1964" s="60">
        <v>1</v>
      </c>
      <c r="V1964" s="56"/>
    </row>
    <row r="1965" spans="1:22" x14ac:dyDescent="0.25">
      <c r="A1965" s="25">
        <v>1954</v>
      </c>
      <c r="B1965" s="23"/>
      <c r="C1965" s="14" t="s">
        <v>144</v>
      </c>
      <c r="D1965" s="23"/>
      <c r="E1965" s="84">
        <v>20</v>
      </c>
      <c r="F1965" s="7" t="s">
        <v>152</v>
      </c>
      <c r="G1965" s="165">
        <v>5000</v>
      </c>
      <c r="H1965" s="165">
        <f>G1965*E1965</f>
        <v>100000</v>
      </c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56"/>
    </row>
    <row r="1966" spans="1:22" x14ac:dyDescent="0.25">
      <c r="A1966" s="25">
        <v>1955</v>
      </c>
      <c r="B1966" s="23"/>
      <c r="C1966" s="14" t="s">
        <v>146</v>
      </c>
      <c r="D1966" s="23"/>
      <c r="E1966" s="84">
        <v>20</v>
      </c>
      <c r="F1966" s="7" t="s">
        <v>152</v>
      </c>
      <c r="G1966" s="165">
        <v>2360</v>
      </c>
      <c r="H1966" s="165">
        <f>G1966*E1966</f>
        <v>47200</v>
      </c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56"/>
    </row>
    <row r="1967" spans="1:22" x14ac:dyDescent="0.25">
      <c r="A1967" s="25">
        <v>1956</v>
      </c>
      <c r="B1967" s="23"/>
      <c r="C1967" s="14"/>
      <c r="D1967" s="23"/>
      <c r="E1967" s="84"/>
      <c r="F1967" s="23"/>
      <c r="G1967" s="165"/>
      <c r="H1967" s="165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56"/>
    </row>
    <row r="1968" spans="1:22" ht="30" x14ac:dyDescent="0.25">
      <c r="A1968" s="25">
        <v>1957</v>
      </c>
      <c r="B1968" s="89" t="s">
        <v>141</v>
      </c>
      <c r="C1968" s="90" t="s">
        <v>147</v>
      </c>
      <c r="D1968" s="89" t="s">
        <v>27</v>
      </c>
      <c r="E1968" s="89"/>
      <c r="F1968" s="89"/>
      <c r="G1968" s="163"/>
      <c r="H1968" s="167">
        <v>1531999.44</v>
      </c>
      <c r="I1968" s="89" t="s">
        <v>52</v>
      </c>
      <c r="J1968" s="60">
        <v>1</v>
      </c>
      <c r="K1968" s="60">
        <v>1</v>
      </c>
      <c r="L1968" s="60">
        <v>1</v>
      </c>
      <c r="M1968" s="60">
        <v>1</v>
      </c>
      <c r="N1968" s="60">
        <v>1</v>
      </c>
      <c r="O1968" s="60">
        <v>1</v>
      </c>
      <c r="P1968" s="60">
        <v>1</v>
      </c>
      <c r="Q1968" s="60">
        <v>1</v>
      </c>
      <c r="R1968" s="60">
        <v>1</v>
      </c>
      <c r="S1968" s="60">
        <v>1</v>
      </c>
      <c r="T1968" s="60">
        <v>1</v>
      </c>
      <c r="U1968" s="60">
        <v>1</v>
      </c>
      <c r="V1968" s="56"/>
    </row>
    <row r="1969" spans="1:22" x14ac:dyDescent="0.25">
      <c r="A1969" s="25">
        <v>1958</v>
      </c>
      <c r="B1969" s="23"/>
      <c r="C1969" s="14" t="s">
        <v>148</v>
      </c>
      <c r="D1969" s="23"/>
      <c r="E1969" s="84">
        <v>500</v>
      </c>
      <c r="F1969" s="23" t="s">
        <v>309</v>
      </c>
      <c r="G1969" s="165">
        <v>3000</v>
      </c>
      <c r="H1969" s="165">
        <f>G1969*E1969</f>
        <v>1500000</v>
      </c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56"/>
    </row>
    <row r="1970" spans="1:22" x14ac:dyDescent="0.25">
      <c r="A1970" s="25">
        <v>1959</v>
      </c>
      <c r="B1970" s="23"/>
      <c r="C1970" s="14" t="s">
        <v>149</v>
      </c>
      <c r="D1970" s="23"/>
      <c r="E1970" s="84">
        <v>36</v>
      </c>
      <c r="F1970" s="7" t="s">
        <v>152</v>
      </c>
      <c r="G1970" s="165">
        <v>888.87329999999997</v>
      </c>
      <c r="H1970" s="165">
        <f>G1970*E1970</f>
        <v>31999.4388</v>
      </c>
      <c r="I1970" s="74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56"/>
    </row>
    <row r="1971" spans="1:22" x14ac:dyDescent="0.25">
      <c r="A1971" s="25">
        <v>1960</v>
      </c>
      <c r="B1971" s="23"/>
      <c r="C1971" s="14"/>
      <c r="D1971" s="23"/>
      <c r="E1971" s="84"/>
      <c r="F1971" s="23"/>
      <c r="G1971" s="165"/>
      <c r="H1971" s="165"/>
      <c r="I1971" s="74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56"/>
    </row>
    <row r="1972" spans="1:22" ht="30" x14ac:dyDescent="0.25">
      <c r="A1972" s="25">
        <v>1961</v>
      </c>
      <c r="B1972" s="89" t="s">
        <v>141</v>
      </c>
      <c r="C1972" s="90" t="s">
        <v>105</v>
      </c>
      <c r="D1972" s="89" t="s">
        <v>27</v>
      </c>
      <c r="E1972" s="89"/>
      <c r="F1972" s="89"/>
      <c r="G1972" s="163"/>
      <c r="H1972" s="167">
        <v>44500</v>
      </c>
      <c r="I1972" s="89" t="s">
        <v>52</v>
      </c>
      <c r="J1972" s="60">
        <v>1</v>
      </c>
      <c r="K1972" s="60">
        <v>1</v>
      </c>
      <c r="L1972" s="60">
        <v>1</v>
      </c>
      <c r="M1972" s="60">
        <v>1</v>
      </c>
      <c r="N1972" s="60">
        <v>1</v>
      </c>
      <c r="O1972" s="60">
        <v>1</v>
      </c>
      <c r="P1972" s="60">
        <v>1</v>
      </c>
      <c r="Q1972" s="60">
        <v>1</v>
      </c>
      <c r="R1972" s="60">
        <v>1</v>
      </c>
      <c r="S1972" s="60">
        <v>1</v>
      </c>
      <c r="T1972" s="60">
        <v>1</v>
      </c>
      <c r="U1972" s="60">
        <v>1</v>
      </c>
      <c r="V1972" s="56"/>
    </row>
    <row r="1973" spans="1:22" x14ac:dyDescent="0.25">
      <c r="A1973" s="25">
        <v>1962</v>
      </c>
      <c r="B1973" s="23"/>
      <c r="C1973" s="6" t="s">
        <v>1032</v>
      </c>
      <c r="D1973" s="23"/>
      <c r="E1973" s="7">
        <v>60</v>
      </c>
      <c r="F1973" s="23" t="s">
        <v>567</v>
      </c>
      <c r="G1973" s="133">
        <v>150</v>
      </c>
      <c r="H1973" s="165">
        <f>G1973*E1973</f>
        <v>9000</v>
      </c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56"/>
    </row>
    <row r="1974" spans="1:22" x14ac:dyDescent="0.25">
      <c r="A1974" s="25">
        <v>1963</v>
      </c>
      <c r="B1974" s="23"/>
      <c r="C1974" s="6" t="s">
        <v>353</v>
      </c>
      <c r="D1974" s="23"/>
      <c r="E1974" s="7">
        <v>30</v>
      </c>
      <c r="F1974" s="8" t="s">
        <v>291</v>
      </c>
      <c r="G1974" s="133">
        <v>90</v>
      </c>
      <c r="H1974" s="165">
        <f t="shared" ref="H1974:H1983" si="136">G1974*E1974</f>
        <v>2700</v>
      </c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56"/>
    </row>
    <row r="1975" spans="1:22" x14ac:dyDescent="0.25">
      <c r="A1975" s="25">
        <v>1964</v>
      </c>
      <c r="B1975" s="23"/>
      <c r="C1975" s="6" t="s">
        <v>1033</v>
      </c>
      <c r="D1975" s="23"/>
      <c r="E1975" s="7">
        <v>20</v>
      </c>
      <c r="F1975" s="7" t="s">
        <v>309</v>
      </c>
      <c r="G1975" s="134">
        <v>60</v>
      </c>
      <c r="H1975" s="165">
        <f t="shared" si="136"/>
        <v>1200</v>
      </c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56"/>
    </row>
    <row r="1976" spans="1:22" x14ac:dyDescent="0.25">
      <c r="A1976" s="25">
        <v>1965</v>
      </c>
      <c r="B1976" s="23"/>
      <c r="C1976" s="6" t="s">
        <v>1034</v>
      </c>
      <c r="D1976" s="23"/>
      <c r="E1976" s="7">
        <v>10</v>
      </c>
      <c r="F1976" s="7" t="s">
        <v>309</v>
      </c>
      <c r="G1976" s="134">
        <v>100</v>
      </c>
      <c r="H1976" s="165">
        <f t="shared" si="136"/>
        <v>1000</v>
      </c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56"/>
    </row>
    <row r="1977" spans="1:22" x14ac:dyDescent="0.25">
      <c r="A1977" s="25">
        <v>1966</v>
      </c>
      <c r="B1977" s="23"/>
      <c r="C1977" s="6" t="s">
        <v>504</v>
      </c>
      <c r="D1977" s="23"/>
      <c r="E1977" s="7">
        <v>11</v>
      </c>
      <c r="F1977" s="23" t="s">
        <v>567</v>
      </c>
      <c r="G1977" s="134">
        <v>600</v>
      </c>
      <c r="H1977" s="165">
        <f t="shared" si="136"/>
        <v>6600</v>
      </c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56"/>
    </row>
    <row r="1978" spans="1:22" x14ac:dyDescent="0.25">
      <c r="A1978" s="25">
        <v>1967</v>
      </c>
      <c r="B1978" s="23"/>
      <c r="C1978" s="6" t="s">
        <v>1035</v>
      </c>
      <c r="D1978" s="23"/>
      <c r="E1978" s="7">
        <v>15</v>
      </c>
      <c r="F1978" s="7" t="s">
        <v>309</v>
      </c>
      <c r="G1978" s="134">
        <v>500</v>
      </c>
      <c r="H1978" s="165">
        <f t="shared" si="136"/>
        <v>7500</v>
      </c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56"/>
    </row>
    <row r="1979" spans="1:22" x14ac:dyDescent="0.25">
      <c r="A1979" s="25">
        <v>1968</v>
      </c>
      <c r="B1979" s="23"/>
      <c r="C1979" s="6" t="s">
        <v>580</v>
      </c>
      <c r="D1979" s="23"/>
      <c r="E1979" s="7">
        <v>10</v>
      </c>
      <c r="F1979" s="7" t="s">
        <v>309</v>
      </c>
      <c r="G1979" s="134">
        <v>100</v>
      </c>
      <c r="H1979" s="165">
        <f t="shared" si="136"/>
        <v>1000</v>
      </c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56"/>
    </row>
    <row r="1980" spans="1:22" x14ac:dyDescent="0.25">
      <c r="A1980" s="25">
        <v>1969</v>
      </c>
      <c r="B1980" s="23"/>
      <c r="C1980" s="6" t="s">
        <v>1036</v>
      </c>
      <c r="D1980" s="23"/>
      <c r="E1980" s="7">
        <v>10</v>
      </c>
      <c r="F1980" s="23" t="s">
        <v>567</v>
      </c>
      <c r="G1980" s="134">
        <v>150</v>
      </c>
      <c r="H1980" s="165">
        <f t="shared" si="136"/>
        <v>1500</v>
      </c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56"/>
    </row>
    <row r="1981" spans="1:22" x14ac:dyDescent="0.25">
      <c r="A1981" s="25">
        <v>1970</v>
      </c>
      <c r="B1981" s="23"/>
      <c r="C1981" s="6" t="s">
        <v>1037</v>
      </c>
      <c r="D1981" s="23"/>
      <c r="E1981" s="7">
        <v>8</v>
      </c>
      <c r="F1981" s="23" t="s">
        <v>567</v>
      </c>
      <c r="G1981" s="134">
        <v>1000</v>
      </c>
      <c r="H1981" s="165">
        <f t="shared" si="136"/>
        <v>8000</v>
      </c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56"/>
    </row>
    <row r="1982" spans="1:22" x14ac:dyDescent="0.25">
      <c r="A1982" s="25">
        <v>1971</v>
      </c>
      <c r="B1982" s="23"/>
      <c r="C1982" s="6" t="s">
        <v>1038</v>
      </c>
      <c r="D1982" s="23"/>
      <c r="E1982" s="7">
        <v>20</v>
      </c>
      <c r="F1982" s="7" t="s">
        <v>309</v>
      </c>
      <c r="G1982" s="134">
        <v>100</v>
      </c>
      <c r="H1982" s="165">
        <f t="shared" si="136"/>
        <v>2000</v>
      </c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56"/>
    </row>
    <row r="1983" spans="1:22" x14ac:dyDescent="0.25">
      <c r="A1983" s="25">
        <v>1972</v>
      </c>
      <c r="B1983" s="23"/>
      <c r="C1983" s="6" t="s">
        <v>1039</v>
      </c>
      <c r="D1983" s="23"/>
      <c r="E1983" s="7">
        <v>20</v>
      </c>
      <c r="F1983" s="7" t="s">
        <v>152</v>
      </c>
      <c r="G1983" s="134">
        <v>200</v>
      </c>
      <c r="H1983" s="165">
        <f t="shared" si="136"/>
        <v>4000</v>
      </c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56"/>
    </row>
    <row r="1984" spans="1:22" x14ac:dyDescent="0.25">
      <c r="A1984" s="25">
        <v>1973</v>
      </c>
      <c r="B1984" s="23"/>
      <c r="C1984" s="14"/>
      <c r="D1984" s="23"/>
      <c r="E1984" s="84"/>
      <c r="F1984" s="23"/>
      <c r="G1984" s="165"/>
      <c r="H1984" s="165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56"/>
    </row>
    <row r="1985" spans="1:22" ht="28.5" customHeight="1" x14ac:dyDescent="0.25">
      <c r="A1985" s="25">
        <v>1974</v>
      </c>
      <c r="B1985" s="89" t="s">
        <v>141</v>
      </c>
      <c r="C1985" s="90" t="s">
        <v>116</v>
      </c>
      <c r="D1985" s="89" t="s">
        <v>27</v>
      </c>
      <c r="E1985" s="89"/>
      <c r="F1985" s="89"/>
      <c r="G1985" s="163"/>
      <c r="H1985" s="167">
        <v>24000</v>
      </c>
      <c r="I1985" s="89" t="s">
        <v>52</v>
      </c>
      <c r="J1985" s="60">
        <v>1</v>
      </c>
      <c r="K1985" s="60">
        <v>1</v>
      </c>
      <c r="L1985" s="60">
        <v>1</v>
      </c>
      <c r="M1985" s="60">
        <v>1</v>
      </c>
      <c r="N1985" s="60">
        <v>1</v>
      </c>
      <c r="O1985" s="60">
        <v>1</v>
      </c>
      <c r="P1985" s="60">
        <v>1</v>
      </c>
      <c r="Q1985" s="60">
        <v>1</v>
      </c>
      <c r="R1985" s="60">
        <v>1</v>
      </c>
      <c r="S1985" s="60">
        <v>1</v>
      </c>
      <c r="T1985" s="60">
        <v>1</v>
      </c>
      <c r="U1985" s="60">
        <v>1</v>
      </c>
      <c r="V1985" s="56"/>
    </row>
    <row r="1986" spans="1:22" x14ac:dyDescent="0.25">
      <c r="A1986" s="25">
        <v>1975</v>
      </c>
      <c r="B1986" s="23"/>
      <c r="C1986" s="14" t="s">
        <v>71</v>
      </c>
      <c r="D1986" s="23"/>
      <c r="E1986" s="84"/>
      <c r="F1986" s="23"/>
      <c r="G1986" s="165"/>
      <c r="H1986" s="165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56"/>
    </row>
    <row r="1987" spans="1:22" x14ac:dyDescent="0.25">
      <c r="A1987" s="25">
        <v>1976</v>
      </c>
      <c r="B1987" s="23"/>
      <c r="C1987" s="135" t="s">
        <v>1106</v>
      </c>
      <c r="D1987" s="23"/>
      <c r="E1987" s="126">
        <f>3*4</f>
        <v>12</v>
      </c>
      <c r="F1987" s="7" t="s">
        <v>309</v>
      </c>
      <c r="G1987" s="182">
        <v>200</v>
      </c>
      <c r="H1987" s="165">
        <f>G1987*E1987</f>
        <v>2400</v>
      </c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56"/>
    </row>
    <row r="1988" spans="1:22" x14ac:dyDescent="0.25">
      <c r="A1988" s="25">
        <v>1977</v>
      </c>
      <c r="B1988" s="23"/>
      <c r="C1988" s="135" t="s">
        <v>495</v>
      </c>
      <c r="D1988" s="23"/>
      <c r="E1988" s="126">
        <f>3*4</f>
        <v>12</v>
      </c>
      <c r="F1988" s="7" t="s">
        <v>309</v>
      </c>
      <c r="G1988" s="182">
        <v>450</v>
      </c>
      <c r="H1988" s="165">
        <f t="shared" ref="H1988:H1997" si="137">G1988*E1988</f>
        <v>5400</v>
      </c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56"/>
    </row>
    <row r="1989" spans="1:22" x14ac:dyDescent="0.25">
      <c r="A1989" s="25">
        <v>1978</v>
      </c>
      <c r="B1989" s="23"/>
      <c r="C1989" s="135" t="s">
        <v>391</v>
      </c>
      <c r="D1989" s="23"/>
      <c r="E1989" s="126">
        <f>15*4</f>
        <v>60</v>
      </c>
      <c r="F1989" s="126" t="s">
        <v>915</v>
      </c>
      <c r="G1989" s="182">
        <v>43</v>
      </c>
      <c r="H1989" s="165">
        <f t="shared" si="137"/>
        <v>2580</v>
      </c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56"/>
    </row>
    <row r="1990" spans="1:22" x14ac:dyDescent="0.25">
      <c r="A1990" s="25">
        <v>1979</v>
      </c>
      <c r="B1990" s="23"/>
      <c r="C1990" s="135" t="s">
        <v>497</v>
      </c>
      <c r="D1990" s="23"/>
      <c r="E1990" s="126">
        <f>17*4</f>
        <v>68</v>
      </c>
      <c r="F1990" s="8" t="s">
        <v>291</v>
      </c>
      <c r="G1990" s="182">
        <v>12</v>
      </c>
      <c r="H1990" s="165">
        <f t="shared" si="137"/>
        <v>816</v>
      </c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56"/>
    </row>
    <row r="1991" spans="1:22" x14ac:dyDescent="0.25">
      <c r="A1991" s="25">
        <v>1980</v>
      </c>
      <c r="B1991" s="23"/>
      <c r="C1991" s="135" t="s">
        <v>392</v>
      </c>
      <c r="D1991" s="23"/>
      <c r="E1991" s="126">
        <f>5*4</f>
        <v>20</v>
      </c>
      <c r="F1991" s="7" t="s">
        <v>309</v>
      </c>
      <c r="G1991" s="182">
        <v>118</v>
      </c>
      <c r="H1991" s="165">
        <f t="shared" si="137"/>
        <v>2360</v>
      </c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56"/>
    </row>
    <row r="1992" spans="1:22" x14ac:dyDescent="0.25">
      <c r="A1992" s="25">
        <v>1981</v>
      </c>
      <c r="B1992" s="23"/>
      <c r="C1992" s="135" t="s">
        <v>1107</v>
      </c>
      <c r="D1992" s="23"/>
      <c r="E1992" s="126">
        <f>4*4</f>
        <v>16</v>
      </c>
      <c r="F1992" s="7" t="s">
        <v>309</v>
      </c>
      <c r="G1992" s="182">
        <v>120</v>
      </c>
      <c r="H1992" s="165">
        <f t="shared" si="137"/>
        <v>1920</v>
      </c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56"/>
    </row>
    <row r="1993" spans="1:22" x14ac:dyDescent="0.25">
      <c r="A1993" s="25">
        <v>1982</v>
      </c>
      <c r="B1993" s="23"/>
      <c r="C1993" s="135" t="s">
        <v>393</v>
      </c>
      <c r="D1993" s="23"/>
      <c r="E1993" s="126">
        <f>6*4</f>
        <v>24</v>
      </c>
      <c r="F1993" s="7" t="s">
        <v>309</v>
      </c>
      <c r="G1993" s="182">
        <v>150</v>
      </c>
      <c r="H1993" s="165">
        <f t="shared" si="137"/>
        <v>3600</v>
      </c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56"/>
    </row>
    <row r="1994" spans="1:22" x14ac:dyDescent="0.25">
      <c r="A1994" s="25">
        <v>1983</v>
      </c>
      <c r="B1994" s="23"/>
      <c r="C1994" s="135" t="s">
        <v>394</v>
      </c>
      <c r="D1994" s="23"/>
      <c r="E1994" s="126">
        <f>4*4</f>
        <v>16</v>
      </c>
      <c r="F1994" s="7" t="s">
        <v>309</v>
      </c>
      <c r="G1994" s="182">
        <v>109</v>
      </c>
      <c r="H1994" s="165">
        <f t="shared" si="137"/>
        <v>1744</v>
      </c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56"/>
    </row>
    <row r="1995" spans="1:22" x14ac:dyDescent="0.25">
      <c r="A1995" s="25">
        <v>1984</v>
      </c>
      <c r="B1995" s="23"/>
      <c r="C1995" s="135" t="s">
        <v>395</v>
      </c>
      <c r="D1995" s="23"/>
      <c r="E1995" s="126">
        <f>2*4</f>
        <v>8</v>
      </c>
      <c r="F1995" s="7" t="s">
        <v>309</v>
      </c>
      <c r="G1995" s="182">
        <v>105.5</v>
      </c>
      <c r="H1995" s="165">
        <f t="shared" si="137"/>
        <v>844</v>
      </c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56"/>
    </row>
    <row r="1996" spans="1:22" x14ac:dyDescent="0.25">
      <c r="A1996" s="25">
        <v>1985</v>
      </c>
      <c r="B1996" s="23"/>
      <c r="C1996" s="135" t="s">
        <v>397</v>
      </c>
      <c r="D1996" s="23"/>
      <c r="E1996" s="126">
        <f>2*4</f>
        <v>8</v>
      </c>
      <c r="F1996" s="7" t="s">
        <v>309</v>
      </c>
      <c r="G1996" s="182">
        <v>118</v>
      </c>
      <c r="H1996" s="165">
        <f t="shared" si="137"/>
        <v>944</v>
      </c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56"/>
    </row>
    <row r="1997" spans="1:22" x14ac:dyDescent="0.25">
      <c r="A1997" s="25">
        <v>1986</v>
      </c>
      <c r="B1997" s="23"/>
      <c r="C1997" s="135" t="s">
        <v>399</v>
      </c>
      <c r="D1997" s="23"/>
      <c r="E1997" s="126">
        <f>3*4</f>
        <v>12</v>
      </c>
      <c r="F1997" s="7" t="s">
        <v>309</v>
      </c>
      <c r="G1997" s="182">
        <v>116</v>
      </c>
      <c r="H1997" s="165">
        <f t="shared" si="137"/>
        <v>1392</v>
      </c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56"/>
    </row>
    <row r="1998" spans="1:22" x14ac:dyDescent="0.25">
      <c r="A1998" s="25">
        <v>1987</v>
      </c>
      <c r="B1998" s="23"/>
      <c r="C1998" s="14"/>
      <c r="D1998" s="23"/>
      <c r="E1998" s="84"/>
      <c r="F1998" s="23"/>
      <c r="G1998" s="165"/>
      <c r="H1998" s="165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56"/>
    </row>
    <row r="1999" spans="1:22" ht="30" x14ac:dyDescent="0.25">
      <c r="A1999" s="25">
        <v>1988</v>
      </c>
      <c r="B1999" s="89" t="s">
        <v>141</v>
      </c>
      <c r="C1999" s="90" t="s">
        <v>109</v>
      </c>
      <c r="D1999" s="89" t="s">
        <v>27</v>
      </c>
      <c r="E1999" s="89"/>
      <c r="F1999" s="89"/>
      <c r="G1999" s="163"/>
      <c r="H1999" s="167">
        <v>44734</v>
      </c>
      <c r="I1999" s="89" t="s">
        <v>52</v>
      </c>
      <c r="J1999" s="60">
        <v>1</v>
      </c>
      <c r="K1999" s="60"/>
      <c r="L1999" s="60"/>
      <c r="M1999" s="60"/>
      <c r="N1999" s="60"/>
      <c r="O1999" s="60"/>
      <c r="P1999" s="60"/>
      <c r="Q1999" s="60"/>
      <c r="R1999" s="60"/>
      <c r="S1999" s="60"/>
      <c r="T1999" s="60"/>
      <c r="U1999" s="60"/>
      <c r="V1999" s="56"/>
    </row>
    <row r="2000" spans="1:22" x14ac:dyDescent="0.25">
      <c r="A2000" s="25">
        <v>1989</v>
      </c>
      <c r="B2000" s="23"/>
      <c r="C2000" s="14" t="s">
        <v>71</v>
      </c>
      <c r="D2000" s="23"/>
      <c r="E2000" s="84"/>
      <c r="F2000" s="23"/>
      <c r="G2000" s="165"/>
      <c r="H2000" s="165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56"/>
    </row>
    <row r="2001" spans="1:22" ht="28.5" x14ac:dyDescent="0.25">
      <c r="A2001" s="25">
        <v>1990</v>
      </c>
      <c r="B2001" s="23"/>
      <c r="C2001" s="41" t="s">
        <v>954</v>
      </c>
      <c r="D2001" s="23"/>
      <c r="E2001" s="29">
        <f>35*6</f>
        <v>210</v>
      </c>
      <c r="F2001" s="29" t="s">
        <v>37</v>
      </c>
      <c r="G2001" s="44">
        <v>180</v>
      </c>
      <c r="H2001" s="165">
        <f>G2001*E2001</f>
        <v>37800</v>
      </c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56"/>
    </row>
    <row r="2002" spans="1:22" x14ac:dyDescent="0.25">
      <c r="A2002" s="25">
        <v>1991</v>
      </c>
      <c r="B2002" s="23"/>
      <c r="C2002" s="41" t="s">
        <v>955</v>
      </c>
      <c r="D2002" s="23"/>
      <c r="E2002" s="29">
        <v>20</v>
      </c>
      <c r="F2002" s="29" t="s">
        <v>309</v>
      </c>
      <c r="G2002" s="44">
        <v>173.35</v>
      </c>
      <c r="H2002" s="165">
        <f>G2002*E2002</f>
        <v>3467</v>
      </c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56"/>
    </row>
    <row r="2003" spans="1:22" x14ac:dyDescent="0.25">
      <c r="A2003" s="25">
        <v>1992</v>
      </c>
      <c r="B2003" s="23"/>
      <c r="C2003" s="41" t="s">
        <v>585</v>
      </c>
      <c r="D2003" s="23"/>
      <c r="E2003" s="29">
        <v>20</v>
      </c>
      <c r="F2003" s="29" t="s">
        <v>309</v>
      </c>
      <c r="G2003" s="44">
        <v>173.35</v>
      </c>
      <c r="H2003" s="165">
        <f>G2003*E2003</f>
        <v>3467</v>
      </c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56"/>
    </row>
    <row r="2004" spans="1:22" x14ac:dyDescent="0.25">
      <c r="A2004" s="25">
        <v>1993</v>
      </c>
      <c r="B2004" s="23"/>
      <c r="C2004" s="14"/>
      <c r="D2004" s="23"/>
      <c r="E2004" s="84"/>
      <c r="F2004" s="23"/>
      <c r="G2004" s="165"/>
      <c r="H2004" s="165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56"/>
    </row>
    <row r="2005" spans="1:22" ht="24.75" customHeight="1" x14ac:dyDescent="0.25">
      <c r="A2005" s="25">
        <v>1994</v>
      </c>
      <c r="B2005" s="89" t="s">
        <v>141</v>
      </c>
      <c r="C2005" s="90" t="s">
        <v>150</v>
      </c>
      <c r="D2005" s="89" t="s">
        <v>27</v>
      </c>
      <c r="E2005" s="89"/>
      <c r="F2005" s="89"/>
      <c r="G2005" s="163"/>
      <c r="H2005" s="167">
        <v>289706.39</v>
      </c>
      <c r="I2005" s="89" t="s">
        <v>52</v>
      </c>
      <c r="J2005" s="60">
        <v>1</v>
      </c>
      <c r="K2005" s="60"/>
      <c r="L2005" s="60"/>
      <c r="M2005" s="60"/>
      <c r="N2005" s="60"/>
      <c r="O2005" s="60"/>
      <c r="P2005" s="60"/>
      <c r="Q2005" s="60"/>
      <c r="R2005" s="60"/>
      <c r="S2005" s="60"/>
      <c r="T2005" s="60"/>
      <c r="U2005" s="60"/>
      <c r="V2005" s="56"/>
    </row>
    <row r="2006" spans="1:22" x14ac:dyDescent="0.25">
      <c r="A2006" s="25">
        <v>1995</v>
      </c>
      <c r="B2006" s="23"/>
      <c r="C2006" s="14" t="s">
        <v>151</v>
      </c>
      <c r="D2006" s="23"/>
      <c r="E2006" s="84">
        <v>1000</v>
      </c>
      <c r="F2006" s="23" t="s">
        <v>152</v>
      </c>
      <c r="G2006" s="165">
        <v>150</v>
      </c>
      <c r="H2006" s="165">
        <v>150000</v>
      </c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56"/>
    </row>
    <row r="2007" spans="1:22" x14ac:dyDescent="0.25">
      <c r="A2007" s="25">
        <v>1996</v>
      </c>
      <c r="B2007" s="23"/>
      <c r="C2007" s="14" t="s">
        <v>149</v>
      </c>
      <c r="D2007" s="23"/>
      <c r="E2007" s="84">
        <v>1</v>
      </c>
      <c r="F2007" s="2" t="s">
        <v>145</v>
      </c>
      <c r="G2007" s="165">
        <v>7006.39</v>
      </c>
      <c r="H2007" s="165">
        <v>7006.39</v>
      </c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56"/>
    </row>
    <row r="2008" spans="1:22" x14ac:dyDescent="0.25">
      <c r="A2008" s="25">
        <v>1997</v>
      </c>
      <c r="B2008" s="23"/>
      <c r="C2008" s="14" t="s">
        <v>153</v>
      </c>
      <c r="D2008" s="23"/>
      <c r="E2008" s="84">
        <v>50</v>
      </c>
      <c r="F2008" s="2" t="s">
        <v>152</v>
      </c>
      <c r="G2008" s="165">
        <v>300</v>
      </c>
      <c r="H2008" s="165">
        <v>15000</v>
      </c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56"/>
    </row>
    <row r="2009" spans="1:22" x14ac:dyDescent="0.25">
      <c r="A2009" s="25">
        <v>1998</v>
      </c>
      <c r="B2009" s="23"/>
      <c r="C2009" s="14" t="s">
        <v>154</v>
      </c>
      <c r="D2009" s="23"/>
      <c r="E2009" s="84">
        <v>400</v>
      </c>
      <c r="F2009" s="2" t="s">
        <v>152</v>
      </c>
      <c r="G2009" s="165">
        <v>264.25</v>
      </c>
      <c r="H2009" s="165">
        <v>105700</v>
      </c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56"/>
    </row>
    <row r="2010" spans="1:22" x14ac:dyDescent="0.25">
      <c r="A2010" s="25">
        <v>1999</v>
      </c>
      <c r="B2010" s="23"/>
      <c r="C2010" s="14" t="s">
        <v>155</v>
      </c>
      <c r="D2010" s="23"/>
      <c r="E2010" s="84">
        <v>1</v>
      </c>
      <c r="F2010" s="2" t="s">
        <v>145</v>
      </c>
      <c r="G2010" s="165">
        <v>4000</v>
      </c>
      <c r="H2010" s="165">
        <v>4000</v>
      </c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56"/>
    </row>
    <row r="2011" spans="1:22" x14ac:dyDescent="0.25">
      <c r="A2011" s="25">
        <v>2000</v>
      </c>
      <c r="B2011" s="23"/>
      <c r="C2011" s="14" t="s">
        <v>156</v>
      </c>
      <c r="D2011" s="23"/>
      <c r="E2011" s="84">
        <v>4</v>
      </c>
      <c r="F2011" s="2" t="s">
        <v>152</v>
      </c>
      <c r="G2011" s="165">
        <v>2000</v>
      </c>
      <c r="H2011" s="165">
        <v>8000</v>
      </c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56"/>
    </row>
    <row r="2012" spans="1:22" x14ac:dyDescent="0.25">
      <c r="A2012" s="25">
        <v>2001</v>
      </c>
      <c r="B2012" s="23"/>
      <c r="C2012" s="14"/>
      <c r="D2012" s="23"/>
      <c r="E2012" s="84"/>
      <c r="F2012" s="23"/>
      <c r="G2012" s="165"/>
      <c r="H2012" s="165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56"/>
    </row>
    <row r="2013" spans="1:22" ht="30" x14ac:dyDescent="0.25">
      <c r="A2013" s="25">
        <v>2002</v>
      </c>
      <c r="B2013" s="89" t="s">
        <v>141</v>
      </c>
      <c r="C2013" s="90" t="s">
        <v>134</v>
      </c>
      <c r="D2013" s="89" t="s">
        <v>27</v>
      </c>
      <c r="E2013" s="89"/>
      <c r="F2013" s="89"/>
      <c r="G2013" s="163"/>
      <c r="H2013" s="167">
        <v>628992</v>
      </c>
      <c r="I2013" s="89" t="s">
        <v>52</v>
      </c>
      <c r="J2013" s="60"/>
      <c r="K2013" s="60"/>
      <c r="L2013" s="60"/>
      <c r="M2013" s="60">
        <v>4</v>
      </c>
      <c r="N2013" s="60"/>
      <c r="O2013" s="60"/>
      <c r="P2013" s="60"/>
      <c r="Q2013" s="60"/>
      <c r="R2013" s="60"/>
      <c r="S2013" s="60"/>
      <c r="T2013" s="60"/>
      <c r="U2013" s="60"/>
      <c r="V2013" s="56"/>
    </row>
    <row r="2014" spans="1:22" x14ac:dyDescent="0.25">
      <c r="A2014" s="25">
        <v>2003</v>
      </c>
      <c r="B2014" s="23"/>
      <c r="C2014" s="1" t="s">
        <v>1187</v>
      </c>
      <c r="D2014" s="23"/>
      <c r="E2014" s="33">
        <v>936</v>
      </c>
      <c r="F2014" s="33" t="s">
        <v>37</v>
      </c>
      <c r="G2014" s="153">
        <v>672</v>
      </c>
      <c r="H2014" s="165">
        <f>G2014*E2014</f>
        <v>628992</v>
      </c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56"/>
    </row>
    <row r="2015" spans="1:22" x14ac:dyDescent="0.25">
      <c r="A2015" s="25">
        <v>2004</v>
      </c>
      <c r="B2015" s="23"/>
      <c r="C2015" s="14"/>
      <c r="D2015" s="23"/>
      <c r="E2015" s="84"/>
      <c r="F2015" s="23"/>
      <c r="G2015" s="165"/>
      <c r="H2015" s="165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56"/>
    </row>
    <row r="2016" spans="1:22" ht="30" x14ac:dyDescent="0.25">
      <c r="A2016" s="25">
        <v>2005</v>
      </c>
      <c r="B2016" s="89" t="s">
        <v>141</v>
      </c>
      <c r="C2016" s="90" t="s">
        <v>157</v>
      </c>
      <c r="D2016" s="89" t="s">
        <v>27</v>
      </c>
      <c r="E2016" s="89"/>
      <c r="F2016" s="89"/>
      <c r="G2016" s="163"/>
      <c r="H2016" s="167">
        <v>70470</v>
      </c>
      <c r="I2016" s="89" t="s">
        <v>52</v>
      </c>
      <c r="J2016" s="60">
        <v>2</v>
      </c>
      <c r="K2016" s="60">
        <v>2</v>
      </c>
      <c r="L2016" s="60">
        <v>2</v>
      </c>
      <c r="M2016" s="60">
        <v>2</v>
      </c>
      <c r="N2016" s="60">
        <v>2</v>
      </c>
      <c r="O2016" s="60">
        <v>2</v>
      </c>
      <c r="P2016" s="60">
        <v>2</v>
      </c>
      <c r="Q2016" s="60">
        <v>2</v>
      </c>
      <c r="R2016" s="60">
        <v>2</v>
      </c>
      <c r="S2016" s="60">
        <v>2</v>
      </c>
      <c r="T2016" s="60">
        <v>2</v>
      </c>
      <c r="U2016" s="60">
        <v>2</v>
      </c>
      <c r="V2016" s="56"/>
    </row>
    <row r="2017" spans="1:22" x14ac:dyDescent="0.25">
      <c r="A2017" s="25">
        <v>2006</v>
      </c>
      <c r="B2017" s="23"/>
      <c r="C2017" s="14" t="s">
        <v>158</v>
      </c>
      <c r="D2017" s="23"/>
      <c r="E2017" s="84">
        <v>27</v>
      </c>
      <c r="F2017" s="2" t="s">
        <v>152</v>
      </c>
      <c r="G2017" s="165">
        <v>2500</v>
      </c>
      <c r="H2017" s="165">
        <v>67500</v>
      </c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56"/>
    </row>
    <row r="2018" spans="1:22" x14ac:dyDescent="0.25">
      <c r="A2018" s="25">
        <v>2007</v>
      </c>
      <c r="B2018" s="23"/>
      <c r="C2018" s="14" t="s">
        <v>159</v>
      </c>
      <c r="D2018" s="23"/>
      <c r="E2018" s="84">
        <v>27</v>
      </c>
      <c r="F2018" s="23" t="s">
        <v>128</v>
      </c>
      <c r="G2018" s="165">
        <v>110</v>
      </c>
      <c r="H2018" s="165">
        <v>2970</v>
      </c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56"/>
    </row>
    <row r="2019" spans="1:22" x14ac:dyDescent="0.25">
      <c r="A2019" s="25">
        <v>2008</v>
      </c>
      <c r="B2019" s="23"/>
      <c r="C2019" s="14"/>
      <c r="D2019" s="23"/>
      <c r="E2019" s="84"/>
      <c r="F2019" s="23"/>
      <c r="G2019" s="165"/>
      <c r="H2019" s="165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56"/>
    </row>
    <row r="2020" spans="1:22" ht="30" x14ac:dyDescent="0.25">
      <c r="A2020" s="25">
        <v>2009</v>
      </c>
      <c r="B2020" s="89" t="s">
        <v>141</v>
      </c>
      <c r="C2020" s="90" t="s">
        <v>160</v>
      </c>
      <c r="D2020" s="89" t="s">
        <v>27</v>
      </c>
      <c r="E2020" s="89"/>
      <c r="F2020" s="89"/>
      <c r="G2020" s="163"/>
      <c r="H2020" s="167">
        <v>163500</v>
      </c>
      <c r="I2020" s="89" t="s">
        <v>52</v>
      </c>
      <c r="J2020" s="60">
        <v>1</v>
      </c>
      <c r="K2020" s="60"/>
      <c r="L2020" s="60"/>
      <c r="M2020" s="60"/>
      <c r="N2020" s="60"/>
      <c r="O2020" s="60"/>
      <c r="P2020" s="60"/>
      <c r="Q2020" s="60"/>
      <c r="R2020" s="60"/>
      <c r="S2020" s="60"/>
      <c r="T2020" s="60"/>
      <c r="U2020" s="60"/>
      <c r="V2020" s="56"/>
    </row>
    <row r="2021" spans="1:22" x14ac:dyDescent="0.25">
      <c r="A2021" s="25">
        <v>2010</v>
      </c>
      <c r="B2021" s="23"/>
      <c r="C2021" s="14" t="s">
        <v>161</v>
      </c>
      <c r="D2021" s="23"/>
      <c r="E2021" s="84">
        <v>45</v>
      </c>
      <c r="F2021" s="2" t="s">
        <v>152</v>
      </c>
      <c r="G2021" s="165">
        <v>300</v>
      </c>
      <c r="H2021" s="165">
        <v>13500</v>
      </c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56"/>
    </row>
    <row r="2022" spans="1:22" x14ac:dyDescent="0.25">
      <c r="A2022" s="25">
        <v>2011</v>
      </c>
      <c r="B2022" s="23"/>
      <c r="C2022" s="14" t="s">
        <v>149</v>
      </c>
      <c r="D2022" s="23"/>
      <c r="E2022" s="84">
        <v>2</v>
      </c>
      <c r="F2022" s="2" t="s">
        <v>152</v>
      </c>
      <c r="G2022" s="165">
        <v>5000</v>
      </c>
      <c r="H2022" s="165">
        <v>10000</v>
      </c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56"/>
    </row>
    <row r="2023" spans="1:22" x14ac:dyDescent="0.25">
      <c r="A2023" s="25">
        <v>2012</v>
      </c>
      <c r="B2023" s="23"/>
      <c r="C2023" s="14" t="s">
        <v>162</v>
      </c>
      <c r="D2023" s="23"/>
      <c r="E2023" s="84">
        <v>500</v>
      </c>
      <c r="F2023" s="2" t="s">
        <v>152</v>
      </c>
      <c r="G2023" s="165">
        <v>280</v>
      </c>
      <c r="H2023" s="165">
        <v>140000</v>
      </c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56"/>
    </row>
    <row r="2024" spans="1:22" x14ac:dyDescent="0.25">
      <c r="A2024" s="25">
        <v>2013</v>
      </c>
      <c r="B2024" s="23"/>
      <c r="C2024" s="14"/>
      <c r="D2024" s="23"/>
      <c r="E2024" s="84"/>
      <c r="F2024" s="23"/>
      <c r="G2024" s="165"/>
      <c r="H2024" s="165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56"/>
    </row>
    <row r="2025" spans="1:22" ht="30" x14ac:dyDescent="0.25">
      <c r="A2025" s="25">
        <v>2014</v>
      </c>
      <c r="B2025" s="89" t="s">
        <v>141</v>
      </c>
      <c r="C2025" s="90" t="s">
        <v>163</v>
      </c>
      <c r="D2025" s="89" t="s">
        <v>27</v>
      </c>
      <c r="E2025" s="89"/>
      <c r="F2025" s="89"/>
      <c r="G2025" s="163"/>
      <c r="H2025" s="167">
        <v>162000</v>
      </c>
      <c r="I2025" s="89" t="s">
        <v>52</v>
      </c>
      <c r="J2025" s="60">
        <v>1</v>
      </c>
      <c r="K2025" s="60">
        <v>1</v>
      </c>
      <c r="L2025" s="60">
        <v>1</v>
      </c>
      <c r="M2025" s="60">
        <v>1</v>
      </c>
      <c r="N2025" s="60">
        <v>1</v>
      </c>
      <c r="O2025" s="60">
        <v>1</v>
      </c>
      <c r="P2025" s="60">
        <v>1</v>
      </c>
      <c r="Q2025" s="60">
        <v>1</v>
      </c>
      <c r="R2025" s="60">
        <v>1</v>
      </c>
      <c r="S2025" s="60">
        <v>1</v>
      </c>
      <c r="T2025" s="60">
        <v>1</v>
      </c>
      <c r="U2025" s="60">
        <v>1</v>
      </c>
      <c r="V2025" s="56"/>
    </row>
    <row r="2026" spans="1:22" x14ac:dyDescent="0.25">
      <c r="A2026" s="25">
        <v>2015</v>
      </c>
      <c r="B2026" s="23"/>
      <c r="C2026" s="14" t="s">
        <v>164</v>
      </c>
      <c r="D2026" s="23"/>
      <c r="E2026" s="84">
        <v>4</v>
      </c>
      <c r="F2026" s="2" t="s">
        <v>152</v>
      </c>
      <c r="G2026" s="165">
        <v>25500</v>
      </c>
      <c r="H2026" s="165">
        <v>102000</v>
      </c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56"/>
    </row>
    <row r="2027" spans="1:22" x14ac:dyDescent="0.25">
      <c r="A2027" s="25">
        <v>2016</v>
      </c>
      <c r="B2027" s="23"/>
      <c r="C2027" s="14" t="s">
        <v>149</v>
      </c>
      <c r="D2027" s="23"/>
      <c r="E2027" s="84">
        <v>4</v>
      </c>
      <c r="F2027" s="2" t="s">
        <v>152</v>
      </c>
      <c r="G2027" s="165">
        <v>15000</v>
      </c>
      <c r="H2027" s="165">
        <v>60000</v>
      </c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56"/>
    </row>
    <row r="2028" spans="1:22" x14ac:dyDescent="0.25">
      <c r="A2028" s="25">
        <v>2017</v>
      </c>
      <c r="B2028" s="23"/>
      <c r="C2028" s="14"/>
      <c r="D2028" s="23"/>
      <c r="E2028" s="84"/>
      <c r="F2028" s="23"/>
      <c r="G2028" s="165"/>
      <c r="H2028" s="165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56"/>
    </row>
    <row r="2029" spans="1:22" ht="30" x14ac:dyDescent="0.25">
      <c r="A2029" s="25">
        <v>2018</v>
      </c>
      <c r="B2029" s="89" t="s">
        <v>141</v>
      </c>
      <c r="C2029" s="90" t="s">
        <v>72</v>
      </c>
      <c r="D2029" s="89" t="s">
        <v>27</v>
      </c>
      <c r="E2029" s="89"/>
      <c r="F2029" s="89"/>
      <c r="G2029" s="163"/>
      <c r="H2029" s="167">
        <v>3756178.53</v>
      </c>
      <c r="I2029" s="89" t="s">
        <v>52</v>
      </c>
      <c r="J2029" s="60"/>
      <c r="K2029" s="60">
        <v>3</v>
      </c>
      <c r="L2029" s="60">
        <v>2</v>
      </c>
      <c r="M2029" s="60">
        <v>2</v>
      </c>
      <c r="N2029" s="60"/>
      <c r="O2029" s="60"/>
      <c r="P2029" s="60">
        <v>3</v>
      </c>
      <c r="Q2029" s="60"/>
      <c r="R2029" s="60"/>
      <c r="S2029" s="60"/>
      <c r="T2029" s="60"/>
      <c r="U2029" s="60"/>
      <c r="V2029" s="56"/>
    </row>
    <row r="2030" spans="1:22" x14ac:dyDescent="0.25">
      <c r="A2030" s="25">
        <v>2019</v>
      </c>
      <c r="B2030" s="23"/>
      <c r="C2030" s="14" t="s">
        <v>1374</v>
      </c>
      <c r="D2030" s="23"/>
      <c r="E2030" s="84"/>
      <c r="F2030" s="23"/>
      <c r="G2030" s="188"/>
      <c r="H2030" s="165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56"/>
    </row>
    <row r="2031" spans="1:22" x14ac:dyDescent="0.25">
      <c r="A2031" s="25">
        <v>2020</v>
      </c>
      <c r="B2031" s="23"/>
      <c r="C2031" s="6" t="s">
        <v>1360</v>
      </c>
      <c r="D2031" s="1"/>
      <c r="E2031" s="7">
        <v>1456</v>
      </c>
      <c r="F2031" s="7" t="s">
        <v>37</v>
      </c>
      <c r="G2031" s="18">
        <v>150</v>
      </c>
      <c r="H2031" s="165">
        <f>G2031*E2031</f>
        <v>218400</v>
      </c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56"/>
    </row>
    <row r="2032" spans="1:22" x14ac:dyDescent="0.25">
      <c r="A2032" s="25">
        <v>2021</v>
      </c>
      <c r="B2032" s="23"/>
      <c r="C2032" s="6" t="s">
        <v>1361</v>
      </c>
      <c r="D2032" s="1"/>
      <c r="E2032" s="7">
        <v>1456</v>
      </c>
      <c r="F2032" s="7" t="s">
        <v>37</v>
      </c>
      <c r="G2032" s="18">
        <v>150</v>
      </c>
      <c r="H2032" s="165">
        <f t="shared" ref="H2032:H2041" si="138">G2032*E2032</f>
        <v>218400</v>
      </c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56"/>
    </row>
    <row r="2033" spans="1:22" x14ac:dyDescent="0.25">
      <c r="A2033" s="25">
        <v>2022</v>
      </c>
      <c r="B2033" s="23"/>
      <c r="C2033" s="6" t="s">
        <v>1362</v>
      </c>
      <c r="D2033" s="1"/>
      <c r="E2033" s="7">
        <v>1456</v>
      </c>
      <c r="F2033" s="7" t="s">
        <v>37</v>
      </c>
      <c r="G2033" s="18">
        <v>120</v>
      </c>
      <c r="H2033" s="165">
        <f t="shared" si="138"/>
        <v>174720</v>
      </c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56"/>
    </row>
    <row r="2034" spans="1:22" x14ac:dyDescent="0.25">
      <c r="A2034" s="25">
        <v>2023</v>
      </c>
      <c r="B2034" s="23"/>
      <c r="C2034" s="6" t="s">
        <v>844</v>
      </c>
      <c r="D2034" s="1"/>
      <c r="E2034" s="7">
        <v>1456</v>
      </c>
      <c r="F2034" s="2" t="s">
        <v>152</v>
      </c>
      <c r="G2034" s="18">
        <v>50</v>
      </c>
      <c r="H2034" s="165">
        <f t="shared" si="138"/>
        <v>72800</v>
      </c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56"/>
    </row>
    <row r="2035" spans="1:22" x14ac:dyDescent="0.25">
      <c r="A2035" s="25">
        <v>2024</v>
      </c>
      <c r="B2035" s="23"/>
      <c r="C2035" s="6" t="s">
        <v>843</v>
      </c>
      <c r="D2035" s="1"/>
      <c r="E2035" s="7">
        <v>1456</v>
      </c>
      <c r="F2035" s="2" t="s">
        <v>152</v>
      </c>
      <c r="G2035" s="18">
        <v>120</v>
      </c>
      <c r="H2035" s="165">
        <f t="shared" si="138"/>
        <v>174720</v>
      </c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56"/>
    </row>
    <row r="2036" spans="1:22" x14ac:dyDescent="0.25">
      <c r="A2036" s="25">
        <v>2025</v>
      </c>
      <c r="B2036" s="23"/>
      <c r="C2036" s="6" t="s">
        <v>1363</v>
      </c>
      <c r="D2036" s="1"/>
      <c r="E2036" s="7">
        <v>1456</v>
      </c>
      <c r="F2036" s="2" t="s">
        <v>152</v>
      </c>
      <c r="G2036" s="18">
        <v>50</v>
      </c>
      <c r="H2036" s="165">
        <f t="shared" si="138"/>
        <v>72800</v>
      </c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56"/>
    </row>
    <row r="2037" spans="1:22" x14ac:dyDescent="0.25">
      <c r="A2037" s="25">
        <v>2026</v>
      </c>
      <c r="B2037" s="23"/>
      <c r="C2037" s="6" t="s">
        <v>1364</v>
      </c>
      <c r="D2037" s="1"/>
      <c r="E2037" s="7">
        <v>1456</v>
      </c>
      <c r="F2037" s="2" t="s">
        <v>152</v>
      </c>
      <c r="G2037" s="18">
        <v>25</v>
      </c>
      <c r="H2037" s="165">
        <f t="shared" si="138"/>
        <v>36400</v>
      </c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56"/>
    </row>
    <row r="2038" spans="1:22" x14ac:dyDescent="0.25">
      <c r="A2038" s="25">
        <v>2027</v>
      </c>
      <c r="B2038" s="23"/>
      <c r="C2038" s="6" t="s">
        <v>1365</v>
      </c>
      <c r="D2038" s="1"/>
      <c r="E2038" s="7">
        <v>1456</v>
      </c>
      <c r="F2038" s="2" t="s">
        <v>152</v>
      </c>
      <c r="G2038" s="18">
        <v>35</v>
      </c>
      <c r="H2038" s="165">
        <f t="shared" si="138"/>
        <v>50960</v>
      </c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56"/>
    </row>
    <row r="2039" spans="1:22" x14ac:dyDescent="0.25">
      <c r="A2039" s="25">
        <v>2028</v>
      </c>
      <c r="B2039" s="23"/>
      <c r="C2039" s="6" t="s">
        <v>504</v>
      </c>
      <c r="D2039" s="1"/>
      <c r="E2039" s="7">
        <v>1456</v>
      </c>
      <c r="F2039" s="2" t="s">
        <v>152</v>
      </c>
      <c r="G2039" s="18">
        <v>30</v>
      </c>
      <c r="H2039" s="165">
        <f t="shared" si="138"/>
        <v>43680</v>
      </c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56"/>
    </row>
    <row r="2040" spans="1:22" x14ac:dyDescent="0.25">
      <c r="A2040" s="25">
        <v>2029</v>
      </c>
      <c r="B2040" s="23"/>
      <c r="C2040" s="6" t="s">
        <v>850</v>
      </c>
      <c r="D2040" s="1"/>
      <c r="E2040" s="7">
        <v>1456</v>
      </c>
      <c r="F2040" s="2" t="s">
        <v>152</v>
      </c>
      <c r="G2040" s="18">
        <v>70</v>
      </c>
      <c r="H2040" s="165">
        <f t="shared" si="138"/>
        <v>101920</v>
      </c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56"/>
    </row>
    <row r="2041" spans="1:22" x14ac:dyDescent="0.25">
      <c r="A2041" s="25">
        <v>2030</v>
      </c>
      <c r="B2041" s="23"/>
      <c r="C2041" s="6" t="s">
        <v>851</v>
      </c>
      <c r="D2041" s="1"/>
      <c r="E2041" s="7">
        <v>1456</v>
      </c>
      <c r="F2041" s="2" t="s">
        <v>152</v>
      </c>
      <c r="G2041" s="18">
        <v>20</v>
      </c>
      <c r="H2041" s="165">
        <f t="shared" si="138"/>
        <v>29120</v>
      </c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56"/>
    </row>
    <row r="2042" spans="1:22" x14ac:dyDescent="0.25">
      <c r="A2042" s="25">
        <v>2031</v>
      </c>
      <c r="B2042" s="23"/>
      <c r="C2042" s="14" t="s">
        <v>1373</v>
      </c>
      <c r="D2042" s="23"/>
      <c r="E2042" s="84"/>
      <c r="F2042" s="23"/>
      <c r="G2042" s="188"/>
      <c r="H2042" s="18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56"/>
    </row>
    <row r="2043" spans="1:22" x14ac:dyDescent="0.25">
      <c r="A2043" s="25">
        <v>2032</v>
      </c>
      <c r="B2043" s="23"/>
      <c r="C2043" s="6" t="s">
        <v>1360</v>
      </c>
      <c r="D2043" s="1"/>
      <c r="E2043" s="7">
        <v>50</v>
      </c>
      <c r="F2043" s="7" t="s">
        <v>475</v>
      </c>
      <c r="G2043" s="18">
        <v>150</v>
      </c>
      <c r="H2043" s="188">
        <f>G2043*E2043</f>
        <v>7500</v>
      </c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56"/>
    </row>
    <row r="2044" spans="1:22" x14ac:dyDescent="0.25">
      <c r="A2044" s="25">
        <v>2033</v>
      </c>
      <c r="B2044" s="23"/>
      <c r="C2044" s="6" t="s">
        <v>1361</v>
      </c>
      <c r="D2044" s="1"/>
      <c r="E2044" s="7">
        <v>50</v>
      </c>
      <c r="F2044" s="7" t="s">
        <v>475</v>
      </c>
      <c r="G2044" s="18">
        <v>150</v>
      </c>
      <c r="H2044" s="188">
        <f t="shared" ref="H2044:H2045" si="139">G2044*E2044</f>
        <v>7500</v>
      </c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56"/>
    </row>
    <row r="2045" spans="1:22" x14ac:dyDescent="0.25">
      <c r="A2045" s="25">
        <v>2034</v>
      </c>
      <c r="B2045" s="23"/>
      <c r="C2045" s="6" t="s">
        <v>1362</v>
      </c>
      <c r="D2045" s="1"/>
      <c r="E2045" s="7">
        <v>50</v>
      </c>
      <c r="F2045" s="7" t="s">
        <v>475</v>
      </c>
      <c r="G2045" s="18">
        <v>120</v>
      </c>
      <c r="H2045" s="188">
        <f t="shared" si="139"/>
        <v>6000</v>
      </c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56"/>
    </row>
    <row r="2046" spans="1:22" x14ac:dyDescent="0.25">
      <c r="A2046" s="25">
        <v>2035</v>
      </c>
      <c r="B2046" s="23"/>
      <c r="C2046" s="14"/>
      <c r="D2046" s="1"/>
      <c r="E2046" s="1"/>
      <c r="F2046" s="1"/>
      <c r="G2046" s="188"/>
      <c r="H2046" s="18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56"/>
    </row>
    <row r="2047" spans="1:22" x14ac:dyDescent="0.25">
      <c r="A2047" s="25">
        <v>2036</v>
      </c>
      <c r="B2047" s="23"/>
      <c r="C2047" s="14" t="s">
        <v>1372</v>
      </c>
      <c r="D2047" s="1"/>
      <c r="E2047" s="1"/>
      <c r="F2047" s="1"/>
      <c r="G2047" s="188"/>
      <c r="H2047" s="18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56"/>
    </row>
    <row r="2048" spans="1:22" x14ac:dyDescent="0.25">
      <c r="A2048" s="25">
        <v>2037</v>
      </c>
      <c r="B2048" s="23"/>
      <c r="C2048" s="11" t="s">
        <v>1366</v>
      </c>
      <c r="D2048" s="1"/>
      <c r="E2048" s="2">
        <f>50*18</f>
        <v>900</v>
      </c>
      <c r="F2048" s="2" t="s">
        <v>1367</v>
      </c>
      <c r="G2048" s="118">
        <v>249</v>
      </c>
      <c r="H2048" s="188">
        <f>G2048*E2048</f>
        <v>224100</v>
      </c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56"/>
    </row>
    <row r="2049" spans="1:22" x14ac:dyDescent="0.25">
      <c r="A2049" s="25">
        <v>2038</v>
      </c>
      <c r="B2049" s="23"/>
      <c r="C2049" s="11" t="s">
        <v>1116</v>
      </c>
      <c r="D2049" s="1"/>
      <c r="E2049" s="2">
        <f>90*18</f>
        <v>1620</v>
      </c>
      <c r="F2049" s="2" t="s">
        <v>309</v>
      </c>
      <c r="G2049" s="118">
        <v>40</v>
      </c>
      <c r="H2049" s="188">
        <f t="shared" ref="H2049:H2057" si="140">G2049*E2049</f>
        <v>64800</v>
      </c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56"/>
    </row>
    <row r="2050" spans="1:22" x14ac:dyDescent="0.25">
      <c r="A2050" s="25">
        <v>2039</v>
      </c>
      <c r="B2050" s="23"/>
      <c r="C2050" s="11" t="s">
        <v>1368</v>
      </c>
      <c r="D2050" s="1"/>
      <c r="E2050" s="2">
        <f>90*18</f>
        <v>1620</v>
      </c>
      <c r="F2050" s="2" t="s">
        <v>309</v>
      </c>
      <c r="G2050" s="118">
        <v>30</v>
      </c>
      <c r="H2050" s="188">
        <f t="shared" si="140"/>
        <v>48600</v>
      </c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56"/>
    </row>
    <row r="2051" spans="1:22" x14ac:dyDescent="0.25">
      <c r="A2051" s="25">
        <v>2040</v>
      </c>
      <c r="B2051" s="23"/>
      <c r="C2051" s="11" t="s">
        <v>504</v>
      </c>
      <c r="D2051" s="1"/>
      <c r="E2051" s="2">
        <f>45*18</f>
        <v>810</v>
      </c>
      <c r="F2051" s="23" t="s">
        <v>567</v>
      </c>
      <c r="G2051" s="118">
        <v>440</v>
      </c>
      <c r="H2051" s="188">
        <f t="shared" si="140"/>
        <v>356400</v>
      </c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56"/>
    </row>
    <row r="2052" spans="1:22" x14ac:dyDescent="0.25">
      <c r="A2052" s="25">
        <v>2041</v>
      </c>
      <c r="B2052" s="23"/>
      <c r="C2052" s="11" t="s">
        <v>394</v>
      </c>
      <c r="D2052" s="1"/>
      <c r="E2052" s="2">
        <f>45*18</f>
        <v>810</v>
      </c>
      <c r="F2052" s="2" t="s">
        <v>309</v>
      </c>
      <c r="G2052" s="118">
        <v>45</v>
      </c>
      <c r="H2052" s="188">
        <f t="shared" si="140"/>
        <v>36450</v>
      </c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56"/>
    </row>
    <row r="2053" spans="1:22" x14ac:dyDescent="0.25">
      <c r="A2053" s="25">
        <v>2042</v>
      </c>
      <c r="B2053" s="23"/>
      <c r="C2053" s="11" t="s">
        <v>1369</v>
      </c>
      <c r="D2053" s="1"/>
      <c r="E2053" s="2">
        <f>45*18</f>
        <v>810</v>
      </c>
      <c r="F2053" s="23" t="s">
        <v>567</v>
      </c>
      <c r="G2053" s="118">
        <v>950</v>
      </c>
      <c r="H2053" s="188">
        <f t="shared" si="140"/>
        <v>769500</v>
      </c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56"/>
    </row>
    <row r="2054" spans="1:22" x14ac:dyDescent="0.25">
      <c r="A2054" s="25">
        <v>2043</v>
      </c>
      <c r="B2054" s="23"/>
      <c r="C2054" s="11" t="s">
        <v>1370</v>
      </c>
      <c r="D2054" s="1"/>
      <c r="E2054" s="2">
        <f>45*18</f>
        <v>810</v>
      </c>
      <c r="F2054" s="23" t="s">
        <v>567</v>
      </c>
      <c r="G2054" s="118">
        <v>455</v>
      </c>
      <c r="H2054" s="188">
        <f t="shared" si="140"/>
        <v>368550</v>
      </c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56"/>
    </row>
    <row r="2055" spans="1:22" x14ac:dyDescent="0.25">
      <c r="A2055" s="25">
        <v>2044</v>
      </c>
      <c r="B2055" s="23"/>
      <c r="C2055" s="11" t="s">
        <v>433</v>
      </c>
      <c r="D2055" s="1"/>
      <c r="E2055" s="2">
        <f>44*18</f>
        <v>792</v>
      </c>
      <c r="F2055" s="2" t="s">
        <v>309</v>
      </c>
      <c r="G2055" s="118">
        <v>50</v>
      </c>
      <c r="H2055" s="188">
        <f t="shared" si="140"/>
        <v>39600</v>
      </c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56"/>
    </row>
    <row r="2056" spans="1:22" x14ac:dyDescent="0.25">
      <c r="A2056" s="25">
        <v>2045</v>
      </c>
      <c r="B2056" s="23"/>
      <c r="C2056" s="11" t="s">
        <v>1371</v>
      </c>
      <c r="D2056" s="1"/>
      <c r="E2056" s="2">
        <f>45*18</f>
        <v>810</v>
      </c>
      <c r="F2056" s="2" t="s">
        <v>309</v>
      </c>
      <c r="G2056" s="118">
        <v>85</v>
      </c>
      <c r="H2056" s="188">
        <f t="shared" si="140"/>
        <v>68850</v>
      </c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56"/>
    </row>
    <row r="2057" spans="1:22" x14ac:dyDescent="0.25">
      <c r="A2057" s="25">
        <v>2046</v>
      </c>
      <c r="B2057" s="23"/>
      <c r="C2057" s="11" t="s">
        <v>872</v>
      </c>
      <c r="D2057" s="1"/>
      <c r="E2057" s="2">
        <f>45*18</f>
        <v>810</v>
      </c>
      <c r="F2057" s="2" t="s">
        <v>309</v>
      </c>
      <c r="G2057" s="118">
        <v>85</v>
      </c>
      <c r="H2057" s="188">
        <f t="shared" si="140"/>
        <v>68850</v>
      </c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56"/>
    </row>
    <row r="2058" spans="1:22" x14ac:dyDescent="0.25">
      <c r="A2058" s="25">
        <v>2047</v>
      </c>
      <c r="B2058" s="23"/>
      <c r="C2058" s="14" t="s">
        <v>1376</v>
      </c>
      <c r="D2058" s="1"/>
      <c r="E2058" s="1"/>
      <c r="F2058" s="1"/>
      <c r="G2058" s="188"/>
      <c r="H2058" s="18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56"/>
    </row>
    <row r="2059" spans="1:22" x14ac:dyDescent="0.25">
      <c r="A2059" s="25">
        <v>2048</v>
      </c>
      <c r="B2059" s="23"/>
      <c r="C2059" s="11" t="s">
        <v>389</v>
      </c>
      <c r="D2059" s="1"/>
      <c r="E2059" s="2">
        <f>10*9</f>
        <v>90</v>
      </c>
      <c r="F2059" s="2" t="s">
        <v>309</v>
      </c>
      <c r="G2059" s="118">
        <v>250</v>
      </c>
      <c r="H2059" s="180">
        <f>G2059*E2059</f>
        <v>22500</v>
      </c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56"/>
    </row>
    <row r="2060" spans="1:22" x14ac:dyDescent="0.25">
      <c r="A2060" s="25">
        <v>2049</v>
      </c>
      <c r="B2060" s="23"/>
      <c r="C2060" s="11" t="s">
        <v>497</v>
      </c>
      <c r="D2060" s="1"/>
      <c r="E2060" s="2">
        <f>50*9</f>
        <v>450</v>
      </c>
      <c r="F2060" s="23" t="s">
        <v>567</v>
      </c>
      <c r="G2060" s="118">
        <v>600</v>
      </c>
      <c r="H2060" s="180">
        <f t="shared" ref="H2060:H2069" si="141">G2060*E2060</f>
        <v>270000</v>
      </c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56"/>
    </row>
    <row r="2061" spans="1:22" x14ac:dyDescent="0.25">
      <c r="A2061" s="25">
        <v>2050</v>
      </c>
      <c r="B2061" s="23"/>
      <c r="C2061" s="11" t="s">
        <v>392</v>
      </c>
      <c r="D2061" s="1"/>
      <c r="E2061" s="2">
        <f>19*9</f>
        <v>171</v>
      </c>
      <c r="F2061" s="2" t="s">
        <v>309</v>
      </c>
      <c r="G2061" s="118">
        <v>118</v>
      </c>
      <c r="H2061" s="180">
        <f t="shared" si="141"/>
        <v>20178</v>
      </c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56"/>
    </row>
    <row r="2062" spans="1:22" x14ac:dyDescent="0.25">
      <c r="A2062" s="25">
        <v>2051</v>
      </c>
      <c r="B2062" s="23"/>
      <c r="C2062" s="11" t="s">
        <v>498</v>
      </c>
      <c r="D2062" s="1"/>
      <c r="E2062" s="2">
        <f>19*9</f>
        <v>171</v>
      </c>
      <c r="F2062" s="2" t="s">
        <v>309</v>
      </c>
      <c r="G2062" s="118">
        <v>85</v>
      </c>
      <c r="H2062" s="180">
        <f t="shared" si="141"/>
        <v>14535</v>
      </c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56"/>
    </row>
    <row r="2063" spans="1:22" x14ac:dyDescent="0.25">
      <c r="A2063" s="25">
        <v>2052</v>
      </c>
      <c r="B2063" s="23"/>
      <c r="C2063" s="11" t="s">
        <v>394</v>
      </c>
      <c r="D2063" s="1"/>
      <c r="E2063" s="2">
        <f>14*9</f>
        <v>126</v>
      </c>
      <c r="F2063" s="2" t="s">
        <v>309</v>
      </c>
      <c r="G2063" s="118">
        <v>120</v>
      </c>
      <c r="H2063" s="180">
        <f t="shared" si="141"/>
        <v>15120</v>
      </c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56"/>
    </row>
    <row r="2064" spans="1:22" x14ac:dyDescent="0.25">
      <c r="A2064" s="25">
        <v>2053</v>
      </c>
      <c r="B2064" s="23"/>
      <c r="C2064" s="11" t="s">
        <v>499</v>
      </c>
      <c r="D2064" s="1"/>
      <c r="E2064" s="2">
        <f>16*9</f>
        <v>144</v>
      </c>
      <c r="F2064" s="2" t="s">
        <v>309</v>
      </c>
      <c r="G2064" s="118">
        <v>85</v>
      </c>
      <c r="H2064" s="180">
        <f t="shared" si="141"/>
        <v>12240</v>
      </c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56"/>
    </row>
    <row r="2065" spans="1:22" x14ac:dyDescent="0.25">
      <c r="A2065" s="25">
        <v>2054</v>
      </c>
      <c r="B2065" s="23"/>
      <c r="C2065" s="11" t="s">
        <v>398</v>
      </c>
      <c r="D2065" s="1"/>
      <c r="E2065" s="2">
        <f>16*9</f>
        <v>144</v>
      </c>
      <c r="F2065" s="2" t="s">
        <v>309</v>
      </c>
      <c r="G2065" s="118">
        <v>85.909930000000003</v>
      </c>
      <c r="H2065" s="180">
        <f t="shared" si="141"/>
        <v>12371.029920000001</v>
      </c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56"/>
    </row>
    <row r="2066" spans="1:22" x14ac:dyDescent="0.25">
      <c r="A2066" s="25">
        <v>2055</v>
      </c>
      <c r="B2066" s="23"/>
      <c r="C2066" s="11" t="s">
        <v>396</v>
      </c>
      <c r="D2066" s="1"/>
      <c r="E2066" s="2">
        <f>10*9</f>
        <v>90</v>
      </c>
      <c r="F2066" s="2" t="s">
        <v>309</v>
      </c>
      <c r="G2066" s="118">
        <v>114</v>
      </c>
      <c r="H2066" s="180">
        <f t="shared" si="141"/>
        <v>10260</v>
      </c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56"/>
    </row>
    <row r="2067" spans="1:22" x14ac:dyDescent="0.25">
      <c r="A2067" s="25">
        <v>2056</v>
      </c>
      <c r="B2067" s="23"/>
      <c r="C2067" s="11" t="s">
        <v>385</v>
      </c>
      <c r="D2067" s="1"/>
      <c r="E2067" s="2">
        <f>12*9</f>
        <v>108</v>
      </c>
      <c r="F2067" s="2" t="s">
        <v>152</v>
      </c>
      <c r="G2067" s="118">
        <v>750</v>
      </c>
      <c r="H2067" s="180">
        <f t="shared" si="141"/>
        <v>81000</v>
      </c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56"/>
    </row>
    <row r="2068" spans="1:22" x14ac:dyDescent="0.25">
      <c r="A2068" s="25">
        <v>2057</v>
      </c>
      <c r="B2068" s="23"/>
      <c r="C2068" s="11" t="s">
        <v>500</v>
      </c>
      <c r="D2068" s="1"/>
      <c r="E2068" s="2">
        <f>15*9</f>
        <v>135</v>
      </c>
      <c r="F2068" s="2" t="s">
        <v>309</v>
      </c>
      <c r="G2068" s="118">
        <v>110</v>
      </c>
      <c r="H2068" s="180">
        <f t="shared" si="141"/>
        <v>14850</v>
      </c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56"/>
    </row>
    <row r="2069" spans="1:22" x14ac:dyDescent="0.25">
      <c r="A2069" s="25">
        <v>2058</v>
      </c>
      <c r="B2069" s="23"/>
      <c r="C2069" s="11" t="s">
        <v>1375</v>
      </c>
      <c r="D2069" s="1"/>
      <c r="E2069" s="2">
        <f>10*9</f>
        <v>90</v>
      </c>
      <c r="F2069" s="2" t="s">
        <v>309</v>
      </c>
      <c r="G2069" s="118">
        <v>250.05</v>
      </c>
      <c r="H2069" s="180">
        <f t="shared" si="141"/>
        <v>22504.5</v>
      </c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56"/>
    </row>
    <row r="2070" spans="1:22" x14ac:dyDescent="0.25">
      <c r="A2070" s="25">
        <v>2059</v>
      </c>
      <c r="B2070" s="23"/>
      <c r="C2070" s="14"/>
      <c r="D2070" s="23"/>
      <c r="E2070" s="84"/>
      <c r="F2070" s="23"/>
      <c r="G2070" s="165"/>
      <c r="H2070" s="165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56"/>
    </row>
    <row r="2071" spans="1:22" ht="30" x14ac:dyDescent="0.25">
      <c r="A2071" s="25">
        <v>2060</v>
      </c>
      <c r="B2071" s="89" t="s">
        <v>141</v>
      </c>
      <c r="C2071" s="90" t="s">
        <v>165</v>
      </c>
      <c r="D2071" s="89" t="s">
        <v>27</v>
      </c>
      <c r="E2071" s="89"/>
      <c r="F2071" s="89"/>
      <c r="G2071" s="163"/>
      <c r="H2071" s="167">
        <v>111000</v>
      </c>
      <c r="I2071" s="89" t="s">
        <v>52</v>
      </c>
      <c r="J2071" s="60">
        <v>1</v>
      </c>
      <c r="K2071" s="60"/>
      <c r="L2071" s="60"/>
      <c r="M2071" s="60">
        <v>1</v>
      </c>
      <c r="N2071" s="60"/>
      <c r="O2071" s="60"/>
      <c r="P2071" s="60">
        <v>1</v>
      </c>
      <c r="Q2071" s="60"/>
      <c r="R2071" s="60"/>
      <c r="S2071" s="60">
        <v>3</v>
      </c>
      <c r="T2071" s="60"/>
      <c r="U2071" s="60"/>
      <c r="V2071" s="56"/>
    </row>
    <row r="2072" spans="1:22" x14ac:dyDescent="0.25">
      <c r="A2072" s="25">
        <v>2061</v>
      </c>
      <c r="B2072" s="23"/>
      <c r="C2072" s="14" t="s">
        <v>166</v>
      </c>
      <c r="D2072" s="23"/>
      <c r="E2072" s="84">
        <f>10*4</f>
        <v>40</v>
      </c>
      <c r="F2072" s="23" t="s">
        <v>152</v>
      </c>
      <c r="G2072" s="165">
        <v>275</v>
      </c>
      <c r="H2072" s="49">
        <f>G2072*E2072</f>
        <v>11000</v>
      </c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56"/>
    </row>
    <row r="2073" spans="1:22" x14ac:dyDescent="0.25">
      <c r="A2073" s="25">
        <v>2062</v>
      </c>
      <c r="B2073" s="23"/>
      <c r="C2073" s="14" t="s">
        <v>167</v>
      </c>
      <c r="D2073" s="23"/>
      <c r="E2073" s="84">
        <f>100*4</f>
        <v>400</v>
      </c>
      <c r="F2073" s="23" t="s">
        <v>152</v>
      </c>
      <c r="G2073" s="165">
        <v>250</v>
      </c>
      <c r="H2073" s="180">
        <f>G2073*E2073</f>
        <v>100000</v>
      </c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56"/>
    </row>
    <row r="2074" spans="1:22" x14ac:dyDescent="0.25">
      <c r="A2074" s="25">
        <v>2063</v>
      </c>
      <c r="B2074" s="23"/>
      <c r="C2074" s="14"/>
      <c r="D2074" s="23"/>
      <c r="E2074" s="84"/>
      <c r="F2074" s="23"/>
      <c r="G2074" s="165"/>
      <c r="H2074" s="49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56"/>
    </row>
    <row r="2075" spans="1:22" ht="30" x14ac:dyDescent="0.25">
      <c r="A2075" s="25">
        <v>2064</v>
      </c>
      <c r="B2075" s="89" t="s">
        <v>141</v>
      </c>
      <c r="C2075" s="90" t="s">
        <v>168</v>
      </c>
      <c r="D2075" s="89" t="s">
        <v>27</v>
      </c>
      <c r="E2075" s="89"/>
      <c r="F2075" s="89"/>
      <c r="G2075" s="163"/>
      <c r="H2075" s="167">
        <v>45800</v>
      </c>
      <c r="I2075" s="89" t="s">
        <v>52</v>
      </c>
      <c r="J2075" s="60"/>
      <c r="K2075" s="60"/>
      <c r="L2075" s="60"/>
      <c r="M2075" s="60">
        <v>2</v>
      </c>
      <c r="N2075" s="60"/>
      <c r="O2075" s="60"/>
      <c r="P2075" s="60">
        <v>3</v>
      </c>
      <c r="Q2075" s="60"/>
      <c r="R2075" s="60"/>
      <c r="S2075" s="60"/>
      <c r="T2075" s="60"/>
      <c r="U2075" s="60"/>
      <c r="V2075" s="56"/>
    </row>
    <row r="2076" spans="1:22" x14ac:dyDescent="0.25">
      <c r="A2076" s="25">
        <v>2065</v>
      </c>
      <c r="B2076" s="23"/>
      <c r="C2076" s="14" t="s">
        <v>161</v>
      </c>
      <c r="D2076" s="23"/>
      <c r="E2076" s="84">
        <v>92</v>
      </c>
      <c r="F2076" s="8" t="s">
        <v>152</v>
      </c>
      <c r="G2076" s="165">
        <v>300</v>
      </c>
      <c r="H2076" s="165">
        <v>27600</v>
      </c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56"/>
    </row>
    <row r="2077" spans="1:22" x14ac:dyDescent="0.25">
      <c r="A2077" s="25">
        <v>2066</v>
      </c>
      <c r="B2077" s="23"/>
      <c r="C2077" s="14" t="s">
        <v>149</v>
      </c>
      <c r="D2077" s="23"/>
      <c r="E2077" s="84">
        <v>2</v>
      </c>
      <c r="F2077" s="8" t="s">
        <v>152</v>
      </c>
      <c r="G2077" s="165">
        <v>9100</v>
      </c>
      <c r="H2077" s="165">
        <v>18200</v>
      </c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56"/>
    </row>
    <row r="2078" spans="1:22" x14ac:dyDescent="0.25">
      <c r="A2078" s="25">
        <v>2067</v>
      </c>
      <c r="B2078" s="23"/>
      <c r="C2078" s="14"/>
      <c r="D2078" s="23"/>
      <c r="E2078" s="84"/>
      <c r="F2078" s="23"/>
      <c r="G2078" s="165"/>
      <c r="H2078" s="165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56"/>
    </row>
    <row r="2079" spans="1:22" ht="30" x14ac:dyDescent="0.25">
      <c r="A2079" s="25">
        <v>2068</v>
      </c>
      <c r="B2079" s="89" t="s">
        <v>141</v>
      </c>
      <c r="C2079" s="90" t="s">
        <v>36</v>
      </c>
      <c r="D2079" s="89" t="s">
        <v>27</v>
      </c>
      <c r="E2079" s="89"/>
      <c r="F2079" s="89"/>
      <c r="G2079" s="163"/>
      <c r="H2079" s="167">
        <v>315184</v>
      </c>
      <c r="I2079" s="89" t="s">
        <v>52</v>
      </c>
      <c r="J2079" s="60"/>
      <c r="K2079" s="60"/>
      <c r="L2079" s="60"/>
      <c r="M2079" s="60"/>
      <c r="N2079" s="60">
        <v>1</v>
      </c>
      <c r="O2079" s="60"/>
      <c r="P2079" s="60"/>
      <c r="Q2079" s="60"/>
      <c r="R2079" s="60"/>
      <c r="S2079" s="60"/>
      <c r="T2079" s="60"/>
      <c r="U2079" s="60"/>
      <c r="V2079" s="56"/>
    </row>
    <row r="2080" spans="1:22" x14ac:dyDescent="0.25">
      <c r="A2080" s="25">
        <v>2069</v>
      </c>
      <c r="B2080" s="23"/>
      <c r="C2080" s="14" t="s">
        <v>71</v>
      </c>
      <c r="D2080" s="23"/>
      <c r="E2080" s="84"/>
      <c r="F2080" s="23"/>
      <c r="G2080" s="165"/>
      <c r="H2080" s="165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56"/>
    </row>
    <row r="2081" spans="1:22" x14ac:dyDescent="0.25">
      <c r="A2081" s="25">
        <v>2070</v>
      </c>
      <c r="B2081" s="23"/>
      <c r="C2081" s="16" t="s">
        <v>842</v>
      </c>
      <c r="D2081" s="23"/>
      <c r="E2081" s="8">
        <v>243</v>
      </c>
      <c r="F2081" s="8" t="s">
        <v>152</v>
      </c>
      <c r="G2081" s="31">
        <v>155</v>
      </c>
      <c r="H2081" s="165">
        <f>G2081*E2081</f>
        <v>37665</v>
      </c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56"/>
    </row>
    <row r="2082" spans="1:22" x14ac:dyDescent="0.25">
      <c r="A2082" s="25">
        <v>2071</v>
      </c>
      <c r="B2082" s="23"/>
      <c r="C2082" s="16" t="s">
        <v>843</v>
      </c>
      <c r="D2082" s="23"/>
      <c r="E2082" s="8">
        <v>243</v>
      </c>
      <c r="F2082" s="8" t="s">
        <v>152</v>
      </c>
      <c r="G2082" s="31">
        <v>180</v>
      </c>
      <c r="H2082" s="165">
        <f t="shared" ref="H2082:H2088" si="142">G2082*E2082</f>
        <v>43740</v>
      </c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56"/>
    </row>
    <row r="2083" spans="1:22" x14ac:dyDescent="0.25">
      <c r="A2083" s="25">
        <v>2072</v>
      </c>
      <c r="B2083" s="23"/>
      <c r="C2083" s="16" t="s">
        <v>844</v>
      </c>
      <c r="D2083" s="23"/>
      <c r="E2083" s="8">
        <v>243</v>
      </c>
      <c r="F2083" s="8" t="s">
        <v>152</v>
      </c>
      <c r="G2083" s="31">
        <v>50</v>
      </c>
      <c r="H2083" s="165">
        <f t="shared" si="142"/>
        <v>12150</v>
      </c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56"/>
    </row>
    <row r="2084" spans="1:22" x14ac:dyDescent="0.25">
      <c r="A2084" s="25">
        <v>2073</v>
      </c>
      <c r="B2084" s="23"/>
      <c r="C2084" s="16" t="s">
        <v>845</v>
      </c>
      <c r="D2084" s="23"/>
      <c r="E2084" s="8">
        <v>243</v>
      </c>
      <c r="F2084" s="8" t="s">
        <v>152</v>
      </c>
      <c r="G2084" s="31">
        <v>210</v>
      </c>
      <c r="H2084" s="165">
        <f t="shared" si="142"/>
        <v>51030</v>
      </c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56"/>
    </row>
    <row r="2085" spans="1:22" x14ac:dyDescent="0.25">
      <c r="A2085" s="25">
        <v>2074</v>
      </c>
      <c r="B2085" s="23"/>
      <c r="C2085" s="16" t="s">
        <v>846</v>
      </c>
      <c r="D2085" s="23"/>
      <c r="E2085" s="8">
        <v>243</v>
      </c>
      <c r="F2085" s="8" t="s">
        <v>152</v>
      </c>
      <c r="G2085" s="31">
        <v>140</v>
      </c>
      <c r="H2085" s="165">
        <f t="shared" si="142"/>
        <v>34020</v>
      </c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56"/>
    </row>
    <row r="2086" spans="1:22" x14ac:dyDescent="0.25">
      <c r="A2086" s="25">
        <v>2075</v>
      </c>
      <c r="B2086" s="23"/>
      <c r="C2086" s="16" t="s">
        <v>847</v>
      </c>
      <c r="D2086" s="23"/>
      <c r="E2086" s="8">
        <v>243</v>
      </c>
      <c r="F2086" s="8" t="s">
        <v>152</v>
      </c>
      <c r="G2086" s="31">
        <v>200</v>
      </c>
      <c r="H2086" s="165">
        <f t="shared" si="142"/>
        <v>48600</v>
      </c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56"/>
    </row>
    <row r="2087" spans="1:22" x14ac:dyDescent="0.25">
      <c r="A2087" s="25">
        <v>2076</v>
      </c>
      <c r="B2087" s="23"/>
      <c r="C2087" s="16" t="s">
        <v>848</v>
      </c>
      <c r="D2087" s="23"/>
      <c r="E2087" s="8">
        <v>243</v>
      </c>
      <c r="F2087" s="8" t="s">
        <v>152</v>
      </c>
      <c r="G2087" s="31">
        <v>100</v>
      </c>
      <c r="H2087" s="165">
        <f t="shared" si="142"/>
        <v>24300</v>
      </c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56"/>
    </row>
    <row r="2088" spans="1:22" x14ac:dyDescent="0.25">
      <c r="A2088" s="25">
        <v>2077</v>
      </c>
      <c r="B2088" s="23"/>
      <c r="C2088" s="16" t="s">
        <v>849</v>
      </c>
      <c r="D2088" s="8"/>
      <c r="E2088" s="8">
        <v>243</v>
      </c>
      <c r="F2088" s="8" t="s">
        <v>152</v>
      </c>
      <c r="G2088" s="136">
        <v>11</v>
      </c>
      <c r="H2088" s="165">
        <f t="shared" si="142"/>
        <v>2673</v>
      </c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56"/>
    </row>
    <row r="2089" spans="1:22" x14ac:dyDescent="0.25">
      <c r="A2089" s="25">
        <v>2078</v>
      </c>
      <c r="B2089" s="23"/>
      <c r="C2089" s="16" t="s">
        <v>850</v>
      </c>
      <c r="D2089" s="8"/>
      <c r="E2089" s="8">
        <f>2*243</f>
        <v>486</v>
      </c>
      <c r="F2089" s="8" t="s">
        <v>152</v>
      </c>
      <c r="G2089" s="136">
        <v>15</v>
      </c>
      <c r="H2089" s="165">
        <f>G2089*E2089</f>
        <v>7290</v>
      </c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56"/>
    </row>
    <row r="2090" spans="1:22" x14ac:dyDescent="0.25">
      <c r="A2090" s="25">
        <v>2079</v>
      </c>
      <c r="B2090" s="23"/>
      <c r="C2090" s="16" t="s">
        <v>851</v>
      </c>
      <c r="D2090" s="8"/>
      <c r="E2090" s="8">
        <f>2*243</f>
        <v>486</v>
      </c>
      <c r="F2090" s="8" t="s">
        <v>152</v>
      </c>
      <c r="G2090" s="136">
        <v>11</v>
      </c>
      <c r="H2090" s="165">
        <f>G2090*E2090</f>
        <v>5346</v>
      </c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56"/>
    </row>
    <row r="2091" spans="1:22" x14ac:dyDescent="0.25">
      <c r="A2091" s="25">
        <v>2080</v>
      </c>
      <c r="B2091" s="23"/>
      <c r="C2091" s="11" t="s">
        <v>389</v>
      </c>
      <c r="D2091" s="23"/>
      <c r="E2091" s="8">
        <f>2*243</f>
        <v>486</v>
      </c>
      <c r="F2091" s="8" t="s">
        <v>152</v>
      </c>
      <c r="G2091" s="24">
        <v>12</v>
      </c>
      <c r="H2091" s="165">
        <f>G2091*E2091</f>
        <v>5832</v>
      </c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56"/>
    </row>
    <row r="2092" spans="1:22" x14ac:dyDescent="0.25">
      <c r="A2092" s="25">
        <v>2081</v>
      </c>
      <c r="B2092" s="23"/>
      <c r="C2092" s="11" t="s">
        <v>497</v>
      </c>
      <c r="D2092" s="23"/>
      <c r="E2092" s="2">
        <v>243</v>
      </c>
      <c r="F2092" s="8" t="s">
        <v>152</v>
      </c>
      <c r="G2092" s="24">
        <v>12</v>
      </c>
      <c r="H2092" s="165">
        <f>G2092*E2092</f>
        <v>2916</v>
      </c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56"/>
    </row>
    <row r="2093" spans="1:22" x14ac:dyDescent="0.25">
      <c r="A2093" s="25">
        <v>2082</v>
      </c>
      <c r="B2093" s="23"/>
      <c r="C2093" s="11" t="s">
        <v>851</v>
      </c>
      <c r="D2093" s="23"/>
      <c r="E2093" s="2">
        <v>243</v>
      </c>
      <c r="F2093" s="8" t="s">
        <v>152</v>
      </c>
      <c r="G2093" s="24">
        <v>8</v>
      </c>
      <c r="H2093" s="165">
        <f>G2093*E2093</f>
        <v>1944</v>
      </c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56"/>
    </row>
    <row r="2094" spans="1:22" x14ac:dyDescent="0.25">
      <c r="A2094" s="25">
        <v>2083</v>
      </c>
      <c r="B2094" s="23"/>
      <c r="C2094" s="16" t="s">
        <v>852</v>
      </c>
      <c r="D2094" s="8"/>
      <c r="E2094" s="25">
        <f>12</f>
        <v>12</v>
      </c>
      <c r="F2094" s="23" t="s">
        <v>309</v>
      </c>
      <c r="G2094" s="136">
        <v>195</v>
      </c>
      <c r="H2094" s="165">
        <f>E2094*G2094*2</f>
        <v>4680</v>
      </c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56"/>
    </row>
    <row r="2095" spans="1:22" x14ac:dyDescent="0.25">
      <c r="A2095" s="25">
        <v>2084</v>
      </c>
      <c r="B2095" s="23"/>
      <c r="C2095" s="16" t="s">
        <v>495</v>
      </c>
      <c r="D2095" s="8"/>
      <c r="E2095" s="25">
        <v>2</v>
      </c>
      <c r="F2095" s="23" t="s">
        <v>309</v>
      </c>
      <c r="G2095" s="136">
        <v>670</v>
      </c>
      <c r="H2095" s="165">
        <f>E2095*G2095</f>
        <v>1340</v>
      </c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56"/>
    </row>
    <row r="2096" spans="1:22" x14ac:dyDescent="0.25">
      <c r="A2096" s="25">
        <v>2085</v>
      </c>
      <c r="B2096" s="23"/>
      <c r="C2096" s="16" t="s">
        <v>496</v>
      </c>
      <c r="D2096" s="8"/>
      <c r="E2096" s="25">
        <v>3</v>
      </c>
      <c r="F2096" s="23" t="s">
        <v>309</v>
      </c>
      <c r="G2096" s="136">
        <v>250</v>
      </c>
      <c r="H2096" s="165">
        <f t="shared" ref="H2096:H2113" si="143">E2096*G2096</f>
        <v>750</v>
      </c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56"/>
    </row>
    <row r="2097" spans="1:22" x14ac:dyDescent="0.25">
      <c r="A2097" s="25">
        <v>2086</v>
      </c>
      <c r="B2097" s="23"/>
      <c r="C2097" s="16" t="s">
        <v>497</v>
      </c>
      <c r="D2097" s="8"/>
      <c r="E2097" s="25">
        <v>26</v>
      </c>
      <c r="F2097" s="23" t="s">
        <v>567</v>
      </c>
      <c r="G2097" s="136">
        <v>476</v>
      </c>
      <c r="H2097" s="165">
        <f t="shared" si="143"/>
        <v>12376</v>
      </c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56"/>
    </row>
    <row r="2098" spans="1:22" x14ac:dyDescent="0.25">
      <c r="A2098" s="25">
        <v>2087</v>
      </c>
      <c r="B2098" s="23"/>
      <c r="C2098" s="16" t="s">
        <v>391</v>
      </c>
      <c r="D2098" s="8"/>
      <c r="E2098" s="25">
        <v>45</v>
      </c>
      <c r="F2098" s="8" t="s">
        <v>152</v>
      </c>
      <c r="G2098" s="136">
        <v>55</v>
      </c>
      <c r="H2098" s="165">
        <f t="shared" si="143"/>
        <v>2475</v>
      </c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56"/>
    </row>
    <row r="2099" spans="1:22" x14ac:dyDescent="0.25">
      <c r="A2099" s="25">
        <v>2088</v>
      </c>
      <c r="B2099" s="23"/>
      <c r="C2099" s="16" t="s">
        <v>853</v>
      </c>
      <c r="D2099" s="8"/>
      <c r="E2099" s="25">
        <v>46</v>
      </c>
      <c r="F2099" s="8" t="s">
        <v>152</v>
      </c>
      <c r="G2099" s="136">
        <v>65</v>
      </c>
      <c r="H2099" s="165">
        <f t="shared" si="143"/>
        <v>2990</v>
      </c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56"/>
    </row>
    <row r="2100" spans="1:22" x14ac:dyDescent="0.25">
      <c r="A2100" s="25">
        <v>2089</v>
      </c>
      <c r="B2100" s="23"/>
      <c r="C2100" s="16" t="s">
        <v>392</v>
      </c>
      <c r="D2100" s="8"/>
      <c r="E2100" s="25">
        <v>8</v>
      </c>
      <c r="F2100" s="23" t="s">
        <v>309</v>
      </c>
      <c r="G2100" s="136">
        <v>118</v>
      </c>
      <c r="H2100" s="165">
        <f t="shared" si="143"/>
        <v>944</v>
      </c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56"/>
    </row>
    <row r="2101" spans="1:22" x14ac:dyDescent="0.25">
      <c r="A2101" s="25">
        <v>2090</v>
      </c>
      <c r="B2101" s="23"/>
      <c r="C2101" s="16" t="s">
        <v>394</v>
      </c>
      <c r="D2101" s="8"/>
      <c r="E2101" s="25">
        <v>12</v>
      </c>
      <c r="F2101" s="23" t="s">
        <v>309</v>
      </c>
      <c r="G2101" s="136">
        <v>119</v>
      </c>
      <c r="H2101" s="165">
        <f t="shared" si="143"/>
        <v>1428</v>
      </c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56"/>
    </row>
    <row r="2102" spans="1:22" x14ac:dyDescent="0.25">
      <c r="A2102" s="25">
        <v>2091</v>
      </c>
      <c r="B2102" s="23"/>
      <c r="C2102" s="16" t="s">
        <v>499</v>
      </c>
      <c r="D2102" s="8"/>
      <c r="E2102" s="25">
        <v>7</v>
      </c>
      <c r="F2102" s="23" t="s">
        <v>309</v>
      </c>
      <c r="G2102" s="136">
        <v>85</v>
      </c>
      <c r="H2102" s="165">
        <f t="shared" si="143"/>
        <v>595</v>
      </c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56"/>
    </row>
    <row r="2103" spans="1:22" x14ac:dyDescent="0.25">
      <c r="A2103" s="25">
        <v>2092</v>
      </c>
      <c r="B2103" s="23"/>
      <c r="C2103" s="16" t="s">
        <v>401</v>
      </c>
      <c r="D2103" s="8"/>
      <c r="E2103" s="25">
        <v>5</v>
      </c>
      <c r="F2103" s="23" t="s">
        <v>309</v>
      </c>
      <c r="G2103" s="136">
        <v>75</v>
      </c>
      <c r="H2103" s="165">
        <f t="shared" si="143"/>
        <v>375</v>
      </c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56"/>
    </row>
    <row r="2104" spans="1:22" x14ac:dyDescent="0.25">
      <c r="A2104" s="25">
        <v>2093</v>
      </c>
      <c r="B2104" s="23"/>
      <c r="C2104" s="16" t="s">
        <v>396</v>
      </c>
      <c r="D2104" s="8"/>
      <c r="E2104" s="25">
        <v>3</v>
      </c>
      <c r="F2104" s="23" t="s">
        <v>309</v>
      </c>
      <c r="G2104" s="136">
        <v>105</v>
      </c>
      <c r="H2104" s="165">
        <f t="shared" si="143"/>
        <v>315</v>
      </c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56"/>
    </row>
    <row r="2105" spans="1:22" x14ac:dyDescent="0.25">
      <c r="A2105" s="25">
        <v>2094</v>
      </c>
      <c r="B2105" s="23"/>
      <c r="C2105" s="16" t="s">
        <v>397</v>
      </c>
      <c r="D2105" s="8"/>
      <c r="E2105" s="25">
        <v>10</v>
      </c>
      <c r="F2105" s="23" t="s">
        <v>309</v>
      </c>
      <c r="G2105" s="136">
        <v>117</v>
      </c>
      <c r="H2105" s="165">
        <f t="shared" si="143"/>
        <v>1170</v>
      </c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56"/>
    </row>
    <row r="2106" spans="1:22" x14ac:dyDescent="0.25">
      <c r="A2106" s="25">
        <v>2095</v>
      </c>
      <c r="B2106" s="23"/>
      <c r="C2106" s="16" t="s">
        <v>398</v>
      </c>
      <c r="D2106" s="8"/>
      <c r="E2106" s="25">
        <v>10</v>
      </c>
      <c r="F2106" s="23" t="s">
        <v>309</v>
      </c>
      <c r="G2106" s="136">
        <v>105</v>
      </c>
      <c r="H2106" s="165">
        <f t="shared" si="143"/>
        <v>1050</v>
      </c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56"/>
    </row>
    <row r="2107" spans="1:22" x14ac:dyDescent="0.25">
      <c r="A2107" s="25">
        <v>2096</v>
      </c>
      <c r="B2107" s="23"/>
      <c r="C2107" s="16" t="s">
        <v>399</v>
      </c>
      <c r="D2107" s="8"/>
      <c r="E2107" s="25">
        <v>8</v>
      </c>
      <c r="F2107" s="23" t="s">
        <v>309</v>
      </c>
      <c r="G2107" s="136">
        <v>115</v>
      </c>
      <c r="H2107" s="165">
        <f t="shared" si="143"/>
        <v>920</v>
      </c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56"/>
    </row>
    <row r="2108" spans="1:22" x14ac:dyDescent="0.25">
      <c r="A2108" s="25">
        <v>2097</v>
      </c>
      <c r="B2108" s="23"/>
      <c r="C2108" s="16" t="s">
        <v>400</v>
      </c>
      <c r="D2108" s="8"/>
      <c r="E2108" s="25">
        <v>10</v>
      </c>
      <c r="F2108" s="23" t="s">
        <v>309</v>
      </c>
      <c r="G2108" s="136">
        <v>90</v>
      </c>
      <c r="H2108" s="165">
        <f t="shared" si="143"/>
        <v>900</v>
      </c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56"/>
    </row>
    <row r="2109" spans="1:22" x14ac:dyDescent="0.25">
      <c r="A2109" s="25">
        <v>2098</v>
      </c>
      <c r="B2109" s="23"/>
      <c r="C2109" s="16" t="s">
        <v>854</v>
      </c>
      <c r="D2109" s="8"/>
      <c r="E2109" s="25">
        <v>10</v>
      </c>
      <c r="F2109" s="23" t="s">
        <v>309</v>
      </c>
      <c r="G2109" s="136">
        <v>110</v>
      </c>
      <c r="H2109" s="165">
        <f t="shared" si="143"/>
        <v>1100</v>
      </c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56"/>
    </row>
    <row r="2110" spans="1:22" x14ac:dyDescent="0.25">
      <c r="A2110" s="25">
        <v>2099</v>
      </c>
      <c r="B2110" s="23"/>
      <c r="C2110" s="16" t="s">
        <v>855</v>
      </c>
      <c r="D2110" s="8"/>
      <c r="E2110" s="25">
        <v>2</v>
      </c>
      <c r="F2110" s="23" t="s">
        <v>567</v>
      </c>
      <c r="G2110" s="136">
        <v>45</v>
      </c>
      <c r="H2110" s="165">
        <f t="shared" si="143"/>
        <v>90</v>
      </c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56"/>
    </row>
    <row r="2111" spans="1:22" x14ac:dyDescent="0.25">
      <c r="A2111" s="25">
        <v>2100</v>
      </c>
      <c r="B2111" s="23"/>
      <c r="C2111" s="16" t="s">
        <v>393</v>
      </c>
      <c r="D2111" s="8"/>
      <c r="E2111" s="25">
        <v>15</v>
      </c>
      <c r="F2111" s="23" t="s">
        <v>567</v>
      </c>
      <c r="G2111" s="136">
        <v>150</v>
      </c>
      <c r="H2111" s="165">
        <f t="shared" si="143"/>
        <v>2250</v>
      </c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56"/>
    </row>
    <row r="2112" spans="1:22" x14ac:dyDescent="0.25">
      <c r="A2112" s="25">
        <v>2101</v>
      </c>
      <c r="B2112" s="23"/>
      <c r="C2112" s="16" t="s">
        <v>498</v>
      </c>
      <c r="D2112" s="8"/>
      <c r="E2112" s="25">
        <v>10</v>
      </c>
      <c r="F2112" s="23" t="s">
        <v>309</v>
      </c>
      <c r="G2112" s="136">
        <v>85</v>
      </c>
      <c r="H2112" s="165">
        <f t="shared" si="143"/>
        <v>850</v>
      </c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56"/>
    </row>
    <row r="2113" spans="1:22" x14ac:dyDescent="0.25">
      <c r="A2113" s="25">
        <v>2102</v>
      </c>
      <c r="B2113" s="23"/>
      <c r="C2113" s="16" t="s">
        <v>500</v>
      </c>
      <c r="D2113" s="8"/>
      <c r="E2113" s="25">
        <v>10</v>
      </c>
      <c r="F2113" s="8" t="s">
        <v>152</v>
      </c>
      <c r="G2113" s="136">
        <v>108</v>
      </c>
      <c r="H2113" s="165">
        <f t="shared" si="143"/>
        <v>1080</v>
      </c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56"/>
    </row>
    <row r="2114" spans="1:22" x14ac:dyDescent="0.25">
      <c r="A2114" s="25">
        <v>2103</v>
      </c>
      <c r="B2114" s="23"/>
      <c r="C2114" s="14"/>
      <c r="D2114" s="23"/>
      <c r="E2114" s="84"/>
      <c r="F2114" s="23"/>
      <c r="G2114" s="165"/>
      <c r="H2114" s="165"/>
      <c r="I2114" s="66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56"/>
    </row>
    <row r="2115" spans="1:22" ht="30" x14ac:dyDescent="0.25">
      <c r="A2115" s="25">
        <v>2104</v>
      </c>
      <c r="B2115" s="89" t="s">
        <v>141</v>
      </c>
      <c r="C2115" s="90" t="s">
        <v>169</v>
      </c>
      <c r="D2115" s="89" t="s">
        <v>27</v>
      </c>
      <c r="E2115" s="89"/>
      <c r="F2115" s="89"/>
      <c r="G2115" s="163"/>
      <c r="H2115" s="167">
        <v>646000</v>
      </c>
      <c r="I2115" s="89" t="s">
        <v>52</v>
      </c>
      <c r="J2115" s="60">
        <v>2</v>
      </c>
      <c r="K2115" s="60">
        <v>2</v>
      </c>
      <c r="L2115" s="60">
        <v>2</v>
      </c>
      <c r="M2115" s="60">
        <v>2</v>
      </c>
      <c r="N2115" s="60">
        <v>2</v>
      </c>
      <c r="O2115" s="60">
        <v>2</v>
      </c>
      <c r="P2115" s="60">
        <v>2</v>
      </c>
      <c r="Q2115" s="60">
        <v>2</v>
      </c>
      <c r="R2115" s="60">
        <v>2</v>
      </c>
      <c r="S2115" s="60">
        <v>2</v>
      </c>
      <c r="T2115" s="60">
        <v>2</v>
      </c>
      <c r="U2115" s="60">
        <v>2</v>
      </c>
      <c r="V2115" s="56"/>
    </row>
    <row r="2116" spans="1:22" x14ac:dyDescent="0.25">
      <c r="A2116" s="25">
        <v>2105</v>
      </c>
      <c r="B2116" s="23"/>
      <c r="C2116" s="14" t="s">
        <v>170</v>
      </c>
      <c r="D2116" s="23"/>
      <c r="E2116" s="84">
        <v>68</v>
      </c>
      <c r="F2116" s="23" t="s">
        <v>152</v>
      </c>
      <c r="G2116" s="165">
        <v>7000</v>
      </c>
      <c r="H2116" s="165">
        <f>G2116*E2116</f>
        <v>476000</v>
      </c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56"/>
    </row>
    <row r="2117" spans="1:22" x14ac:dyDescent="0.25">
      <c r="A2117" s="25">
        <v>2106</v>
      </c>
      <c r="B2117" s="23"/>
      <c r="C2117" s="14" t="s">
        <v>171</v>
      </c>
      <c r="D2117" s="23"/>
      <c r="E2117" s="84">
        <v>68</v>
      </c>
      <c r="F2117" s="23" t="s">
        <v>152</v>
      </c>
      <c r="G2117" s="165">
        <v>1000</v>
      </c>
      <c r="H2117" s="165">
        <f>G2117*E2117</f>
        <v>68000</v>
      </c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56"/>
    </row>
    <row r="2118" spans="1:22" x14ac:dyDescent="0.25">
      <c r="A2118" s="25">
        <v>2107</v>
      </c>
      <c r="B2118" s="23"/>
      <c r="C2118" s="14" t="s">
        <v>172</v>
      </c>
      <c r="D2118" s="23"/>
      <c r="E2118" s="84">
        <v>17</v>
      </c>
      <c r="F2118" s="23" t="s">
        <v>128</v>
      </c>
      <c r="G2118" s="165">
        <v>6000</v>
      </c>
      <c r="H2118" s="165">
        <f>G2118*E2118</f>
        <v>102000</v>
      </c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56"/>
    </row>
    <row r="2119" spans="1:22" x14ac:dyDescent="0.25">
      <c r="A2119" s="25">
        <v>2108</v>
      </c>
      <c r="B2119" s="23"/>
      <c r="C2119" s="14"/>
      <c r="D2119" s="23"/>
      <c r="E2119" s="84"/>
      <c r="F2119" s="23"/>
      <c r="G2119" s="165"/>
      <c r="H2119" s="165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56"/>
    </row>
    <row r="2120" spans="1:22" ht="30" x14ac:dyDescent="0.25">
      <c r="A2120" s="25">
        <v>2109</v>
      </c>
      <c r="B2120" s="89" t="s">
        <v>141</v>
      </c>
      <c r="C2120" s="90" t="s">
        <v>34</v>
      </c>
      <c r="D2120" s="89" t="s">
        <v>27</v>
      </c>
      <c r="E2120" s="89"/>
      <c r="F2120" s="89"/>
      <c r="G2120" s="163"/>
      <c r="H2120" s="167">
        <v>15000</v>
      </c>
      <c r="I2120" s="89" t="s">
        <v>52</v>
      </c>
      <c r="J2120" s="60"/>
      <c r="K2120" s="60"/>
      <c r="L2120" s="60"/>
      <c r="M2120" s="60">
        <v>2</v>
      </c>
      <c r="N2120" s="60"/>
      <c r="O2120" s="60"/>
      <c r="P2120" s="60"/>
      <c r="Q2120" s="60">
        <v>1</v>
      </c>
      <c r="R2120" s="60"/>
      <c r="S2120" s="60">
        <v>1</v>
      </c>
      <c r="T2120" s="60"/>
      <c r="U2120" s="60"/>
      <c r="V2120" s="56"/>
    </row>
    <row r="2121" spans="1:22" x14ac:dyDescent="0.25">
      <c r="A2121" s="25">
        <v>2110</v>
      </c>
      <c r="B2121" s="23"/>
      <c r="C2121" s="11" t="s">
        <v>582</v>
      </c>
      <c r="D2121" s="23"/>
      <c r="E2121" s="2">
        <v>30</v>
      </c>
      <c r="F2121" s="23" t="s">
        <v>309</v>
      </c>
      <c r="G2121" s="12">
        <v>200</v>
      </c>
      <c r="H2121" s="165">
        <f t="shared" ref="H2121:H2126" si="144">G2121*E2121</f>
        <v>6000</v>
      </c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56"/>
    </row>
    <row r="2122" spans="1:22" x14ac:dyDescent="0.25">
      <c r="A2122" s="25">
        <v>2111</v>
      </c>
      <c r="B2122" s="23"/>
      <c r="C2122" s="11" t="s">
        <v>580</v>
      </c>
      <c r="D2122" s="23"/>
      <c r="E2122" s="2">
        <v>5</v>
      </c>
      <c r="F2122" s="2" t="s">
        <v>1117</v>
      </c>
      <c r="G2122" s="12">
        <v>100</v>
      </c>
      <c r="H2122" s="165">
        <f t="shared" si="144"/>
        <v>500</v>
      </c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56"/>
    </row>
    <row r="2123" spans="1:22" x14ac:dyDescent="0.25">
      <c r="A2123" s="25">
        <v>2112</v>
      </c>
      <c r="B2123" s="23"/>
      <c r="C2123" s="11" t="s">
        <v>1114</v>
      </c>
      <c r="D2123" s="23"/>
      <c r="E2123" s="2">
        <v>20</v>
      </c>
      <c r="F2123" s="23" t="s">
        <v>309</v>
      </c>
      <c r="G2123" s="12">
        <v>100</v>
      </c>
      <c r="H2123" s="165">
        <f t="shared" si="144"/>
        <v>2000</v>
      </c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56"/>
    </row>
    <row r="2124" spans="1:22" x14ac:dyDescent="0.25">
      <c r="A2124" s="25">
        <v>2113</v>
      </c>
      <c r="B2124" s="23"/>
      <c r="C2124" s="11" t="s">
        <v>1115</v>
      </c>
      <c r="D2124" s="23"/>
      <c r="E2124" s="2">
        <v>20</v>
      </c>
      <c r="F2124" s="23" t="s">
        <v>309</v>
      </c>
      <c r="G2124" s="12">
        <v>100</v>
      </c>
      <c r="H2124" s="165">
        <f t="shared" si="144"/>
        <v>2000</v>
      </c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56"/>
    </row>
    <row r="2125" spans="1:22" x14ac:dyDescent="0.25">
      <c r="A2125" s="25">
        <v>2114</v>
      </c>
      <c r="B2125" s="23"/>
      <c r="C2125" s="11" t="s">
        <v>1116</v>
      </c>
      <c r="D2125" s="23"/>
      <c r="E2125" s="2">
        <v>20</v>
      </c>
      <c r="F2125" s="23" t="s">
        <v>309</v>
      </c>
      <c r="G2125" s="12">
        <v>100</v>
      </c>
      <c r="H2125" s="165">
        <f t="shared" si="144"/>
        <v>2000</v>
      </c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56"/>
    </row>
    <row r="2126" spans="1:22" x14ac:dyDescent="0.25">
      <c r="A2126" s="25">
        <v>2115</v>
      </c>
      <c r="B2126" s="23"/>
      <c r="C2126" s="11" t="s">
        <v>504</v>
      </c>
      <c r="D2126" s="23"/>
      <c r="E2126" s="2">
        <v>5</v>
      </c>
      <c r="F2126" s="23" t="s">
        <v>567</v>
      </c>
      <c r="G2126" s="12">
        <v>500</v>
      </c>
      <c r="H2126" s="165">
        <f t="shared" si="144"/>
        <v>2500</v>
      </c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56"/>
    </row>
    <row r="2127" spans="1:22" x14ac:dyDescent="0.25">
      <c r="A2127" s="25">
        <v>2116</v>
      </c>
      <c r="B2127" s="23"/>
      <c r="C2127" s="14"/>
      <c r="D2127" s="23"/>
      <c r="E2127" s="84"/>
      <c r="F2127" s="23"/>
      <c r="G2127" s="165"/>
      <c r="H2127" s="165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56"/>
    </row>
    <row r="2128" spans="1:22" ht="45" x14ac:dyDescent="0.25">
      <c r="A2128" s="25">
        <v>2117</v>
      </c>
      <c r="B2128" s="89" t="s">
        <v>141</v>
      </c>
      <c r="C2128" s="90" t="s">
        <v>173</v>
      </c>
      <c r="D2128" s="89" t="s">
        <v>27</v>
      </c>
      <c r="E2128" s="89"/>
      <c r="F2128" s="89"/>
      <c r="G2128" s="163"/>
      <c r="H2128" s="167">
        <v>40500</v>
      </c>
      <c r="I2128" s="89" t="s">
        <v>52</v>
      </c>
      <c r="J2128" s="60"/>
      <c r="K2128" s="60"/>
      <c r="L2128" s="60"/>
      <c r="M2128" s="60"/>
      <c r="N2128" s="60"/>
      <c r="O2128" s="60">
        <v>1</v>
      </c>
      <c r="P2128" s="60"/>
      <c r="Q2128" s="60"/>
      <c r="R2128" s="60"/>
      <c r="S2128" s="60"/>
      <c r="T2128" s="60"/>
      <c r="U2128" s="60"/>
      <c r="V2128" s="56"/>
    </row>
    <row r="2129" spans="1:22" x14ac:dyDescent="0.25">
      <c r="A2129" s="25">
        <v>2118</v>
      </c>
      <c r="B2129" s="23"/>
      <c r="C2129" s="63" t="s">
        <v>348</v>
      </c>
      <c r="D2129" s="23"/>
      <c r="E2129" s="64">
        <v>150</v>
      </c>
      <c r="F2129" s="64" t="s">
        <v>152</v>
      </c>
      <c r="G2129" s="168">
        <v>270</v>
      </c>
      <c r="H2129" s="165">
        <f>G2129*E2129</f>
        <v>40500</v>
      </c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56"/>
    </row>
    <row r="2130" spans="1:22" x14ac:dyDescent="0.25">
      <c r="A2130" s="25">
        <v>2119</v>
      </c>
      <c r="B2130" s="23"/>
      <c r="C2130" s="14"/>
      <c r="D2130" s="23"/>
      <c r="E2130" s="84"/>
      <c r="F2130" s="23"/>
      <c r="G2130" s="165"/>
      <c r="H2130" s="165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56"/>
    </row>
    <row r="2131" spans="1:22" ht="30" x14ac:dyDescent="0.25">
      <c r="A2131" s="25">
        <v>2120</v>
      </c>
      <c r="B2131" s="89" t="s">
        <v>141</v>
      </c>
      <c r="C2131" s="90" t="s">
        <v>174</v>
      </c>
      <c r="D2131" s="89" t="s">
        <v>27</v>
      </c>
      <c r="E2131" s="89"/>
      <c r="F2131" s="89"/>
      <c r="G2131" s="163"/>
      <c r="H2131" s="167">
        <v>536000</v>
      </c>
      <c r="I2131" s="89" t="s">
        <v>52</v>
      </c>
      <c r="J2131" s="60">
        <v>1</v>
      </c>
      <c r="K2131" s="60">
        <v>1</v>
      </c>
      <c r="L2131" s="60">
        <v>1</v>
      </c>
      <c r="M2131" s="60">
        <v>1</v>
      </c>
      <c r="N2131" s="60">
        <v>1</v>
      </c>
      <c r="O2131" s="60">
        <v>1</v>
      </c>
      <c r="P2131" s="60">
        <v>1</v>
      </c>
      <c r="Q2131" s="60">
        <v>1</v>
      </c>
      <c r="R2131" s="60">
        <v>1</v>
      </c>
      <c r="S2131" s="60">
        <v>1</v>
      </c>
      <c r="T2131" s="60">
        <v>1</v>
      </c>
      <c r="U2131" s="60">
        <v>1</v>
      </c>
      <c r="V2131" s="56"/>
    </row>
    <row r="2132" spans="1:22" x14ac:dyDescent="0.25">
      <c r="A2132" s="25">
        <v>2121</v>
      </c>
      <c r="B2132" s="23"/>
      <c r="C2132" s="14" t="s">
        <v>170</v>
      </c>
      <c r="D2132" s="23"/>
      <c r="E2132" s="84">
        <v>32</v>
      </c>
      <c r="F2132" s="23" t="s">
        <v>152</v>
      </c>
      <c r="G2132" s="165">
        <v>7000</v>
      </c>
      <c r="H2132" s="165">
        <v>224000</v>
      </c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56"/>
    </row>
    <row r="2133" spans="1:22" x14ac:dyDescent="0.25">
      <c r="A2133" s="25">
        <v>2122</v>
      </c>
      <c r="B2133" s="23"/>
      <c r="C2133" s="14" t="s">
        <v>158</v>
      </c>
      <c r="D2133" s="23"/>
      <c r="E2133" s="84">
        <v>32</v>
      </c>
      <c r="F2133" s="23" t="s">
        <v>152</v>
      </c>
      <c r="G2133" s="165">
        <v>1500</v>
      </c>
      <c r="H2133" s="165">
        <v>48000</v>
      </c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56"/>
    </row>
    <row r="2134" spans="1:22" x14ac:dyDescent="0.25">
      <c r="A2134" s="25">
        <v>2123</v>
      </c>
      <c r="B2134" s="23"/>
      <c r="C2134" s="14" t="s">
        <v>175</v>
      </c>
      <c r="D2134" s="23"/>
      <c r="E2134" s="84">
        <v>32</v>
      </c>
      <c r="F2134" s="23" t="s">
        <v>152</v>
      </c>
      <c r="G2134" s="165">
        <v>7500</v>
      </c>
      <c r="H2134" s="165">
        <v>240000</v>
      </c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56"/>
    </row>
    <row r="2135" spans="1:22" x14ac:dyDescent="0.25">
      <c r="A2135" s="25">
        <v>2124</v>
      </c>
      <c r="B2135" s="23"/>
      <c r="C2135" s="14" t="s">
        <v>176</v>
      </c>
      <c r="D2135" s="23"/>
      <c r="E2135" s="84">
        <v>32</v>
      </c>
      <c r="F2135" s="23" t="s">
        <v>152</v>
      </c>
      <c r="G2135" s="165">
        <v>750</v>
      </c>
      <c r="H2135" s="165">
        <v>24000</v>
      </c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56"/>
    </row>
    <row r="2136" spans="1:22" x14ac:dyDescent="0.25">
      <c r="A2136" s="25">
        <v>2125</v>
      </c>
      <c r="B2136" s="23"/>
      <c r="C2136" s="14"/>
      <c r="D2136" s="23"/>
      <c r="E2136" s="84"/>
      <c r="F2136" s="23"/>
      <c r="G2136" s="165"/>
      <c r="H2136" s="165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56"/>
    </row>
    <row r="2137" spans="1:22" ht="30" x14ac:dyDescent="0.25">
      <c r="A2137" s="25">
        <v>2126</v>
      </c>
      <c r="B2137" s="89" t="s">
        <v>141</v>
      </c>
      <c r="C2137" s="90" t="s">
        <v>35</v>
      </c>
      <c r="D2137" s="89" t="s">
        <v>27</v>
      </c>
      <c r="E2137" s="89"/>
      <c r="F2137" s="89"/>
      <c r="G2137" s="163"/>
      <c r="H2137" s="167">
        <v>5624384</v>
      </c>
      <c r="I2137" s="89" t="s">
        <v>52</v>
      </c>
      <c r="J2137" s="60"/>
      <c r="K2137" s="60"/>
      <c r="L2137" s="60"/>
      <c r="M2137" s="60">
        <v>4</v>
      </c>
      <c r="N2137" s="60">
        <v>1</v>
      </c>
      <c r="O2137" s="60">
        <v>2</v>
      </c>
      <c r="P2137" s="60">
        <v>4</v>
      </c>
      <c r="Q2137" s="60">
        <v>1</v>
      </c>
      <c r="R2137" s="60">
        <v>2</v>
      </c>
      <c r="S2137" s="60">
        <v>4</v>
      </c>
      <c r="T2137" s="60">
        <v>1</v>
      </c>
      <c r="U2137" s="60"/>
      <c r="V2137" s="56"/>
    </row>
    <row r="2138" spans="1:22" x14ac:dyDescent="0.25">
      <c r="A2138" s="25">
        <v>2127</v>
      </c>
      <c r="B2138" s="23"/>
      <c r="C2138" s="16" t="s">
        <v>842</v>
      </c>
      <c r="D2138" s="23"/>
      <c r="E2138" s="8">
        <v>4871</v>
      </c>
      <c r="F2138" s="8" t="s">
        <v>152</v>
      </c>
      <c r="G2138" s="31">
        <v>155</v>
      </c>
      <c r="H2138" s="165">
        <f>G2138*E2138</f>
        <v>755005</v>
      </c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56"/>
    </row>
    <row r="2139" spans="1:22" x14ac:dyDescent="0.25">
      <c r="A2139" s="25">
        <v>2128</v>
      </c>
      <c r="B2139" s="23"/>
      <c r="C2139" s="16" t="s">
        <v>843</v>
      </c>
      <c r="D2139" s="23"/>
      <c r="E2139" s="8">
        <v>4871</v>
      </c>
      <c r="F2139" s="8" t="s">
        <v>152</v>
      </c>
      <c r="G2139" s="31">
        <v>180</v>
      </c>
      <c r="H2139" s="165">
        <f t="shared" ref="H2139:H2150" si="145">G2139*E2139</f>
        <v>876780</v>
      </c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56"/>
    </row>
    <row r="2140" spans="1:22" x14ac:dyDescent="0.25">
      <c r="A2140" s="25">
        <v>2129</v>
      </c>
      <c r="B2140" s="23"/>
      <c r="C2140" s="16" t="s">
        <v>844</v>
      </c>
      <c r="D2140" s="23"/>
      <c r="E2140" s="8">
        <v>4871</v>
      </c>
      <c r="F2140" s="8" t="s">
        <v>152</v>
      </c>
      <c r="G2140" s="31">
        <v>50</v>
      </c>
      <c r="H2140" s="165">
        <f t="shared" si="145"/>
        <v>243550</v>
      </c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56"/>
    </row>
    <row r="2141" spans="1:22" x14ac:dyDescent="0.25">
      <c r="A2141" s="25">
        <v>2130</v>
      </c>
      <c r="B2141" s="23"/>
      <c r="C2141" s="16" t="s">
        <v>845</v>
      </c>
      <c r="D2141" s="23"/>
      <c r="E2141" s="8">
        <v>4871</v>
      </c>
      <c r="F2141" s="8" t="s">
        <v>152</v>
      </c>
      <c r="G2141" s="31">
        <v>210</v>
      </c>
      <c r="H2141" s="165">
        <f t="shared" si="145"/>
        <v>1022910</v>
      </c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56"/>
    </row>
    <row r="2142" spans="1:22" x14ac:dyDescent="0.25">
      <c r="A2142" s="25">
        <v>2131</v>
      </c>
      <c r="B2142" s="23"/>
      <c r="C2142" s="16" t="s">
        <v>846</v>
      </c>
      <c r="D2142" s="23"/>
      <c r="E2142" s="8">
        <v>4871</v>
      </c>
      <c r="F2142" s="8" t="s">
        <v>152</v>
      </c>
      <c r="G2142" s="31">
        <v>140</v>
      </c>
      <c r="H2142" s="165">
        <f t="shared" si="145"/>
        <v>681940</v>
      </c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56"/>
    </row>
    <row r="2143" spans="1:22" x14ac:dyDescent="0.25">
      <c r="A2143" s="25">
        <v>2132</v>
      </c>
      <c r="B2143" s="23"/>
      <c r="C2143" s="16" t="s">
        <v>847</v>
      </c>
      <c r="D2143" s="23"/>
      <c r="E2143" s="8">
        <v>4871</v>
      </c>
      <c r="F2143" s="8" t="s">
        <v>152</v>
      </c>
      <c r="G2143" s="31">
        <v>200</v>
      </c>
      <c r="H2143" s="165">
        <f t="shared" si="145"/>
        <v>974200</v>
      </c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56"/>
    </row>
    <row r="2144" spans="1:22" x14ac:dyDescent="0.25">
      <c r="A2144" s="25">
        <v>2133</v>
      </c>
      <c r="B2144" s="23"/>
      <c r="C2144" s="16" t="s">
        <v>848</v>
      </c>
      <c r="D2144" s="23"/>
      <c r="E2144" s="8">
        <v>4871</v>
      </c>
      <c r="F2144" s="8" t="s">
        <v>152</v>
      </c>
      <c r="G2144" s="31">
        <v>100</v>
      </c>
      <c r="H2144" s="165">
        <f t="shared" si="145"/>
        <v>487100</v>
      </c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56"/>
    </row>
    <row r="2145" spans="1:22" x14ac:dyDescent="0.25">
      <c r="A2145" s="25">
        <v>2134</v>
      </c>
      <c r="B2145" s="23"/>
      <c r="C2145" s="16" t="s">
        <v>849</v>
      </c>
      <c r="D2145" s="23"/>
      <c r="E2145" s="8">
        <f>3*4871</f>
        <v>14613</v>
      </c>
      <c r="F2145" s="8" t="s">
        <v>152</v>
      </c>
      <c r="G2145" s="136">
        <v>11</v>
      </c>
      <c r="H2145" s="165">
        <f t="shared" si="145"/>
        <v>160743</v>
      </c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56"/>
    </row>
    <row r="2146" spans="1:22" x14ac:dyDescent="0.25">
      <c r="A2146" s="25">
        <v>2135</v>
      </c>
      <c r="B2146" s="23"/>
      <c r="C2146" s="16" t="s">
        <v>850</v>
      </c>
      <c r="D2146" s="23"/>
      <c r="E2146" s="8">
        <f>2*4871</f>
        <v>9742</v>
      </c>
      <c r="F2146" s="8" t="s">
        <v>152</v>
      </c>
      <c r="G2146" s="136">
        <v>15</v>
      </c>
      <c r="H2146" s="165">
        <f t="shared" si="145"/>
        <v>146130</v>
      </c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56"/>
    </row>
    <row r="2147" spans="1:22" x14ac:dyDescent="0.25">
      <c r="A2147" s="25">
        <v>2136</v>
      </c>
      <c r="B2147" s="23"/>
      <c r="C2147" s="16" t="s">
        <v>851</v>
      </c>
      <c r="D2147" s="23"/>
      <c r="E2147" s="8">
        <f>2*4871</f>
        <v>9742</v>
      </c>
      <c r="F2147" s="8" t="s">
        <v>152</v>
      </c>
      <c r="G2147" s="136">
        <v>11</v>
      </c>
      <c r="H2147" s="165">
        <f t="shared" si="145"/>
        <v>107162</v>
      </c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56"/>
    </row>
    <row r="2148" spans="1:22" x14ac:dyDescent="0.25">
      <c r="A2148" s="25">
        <v>2137</v>
      </c>
      <c r="B2148" s="23"/>
      <c r="C2148" s="11" t="s">
        <v>389</v>
      </c>
      <c r="D2148" s="23"/>
      <c r="E2148" s="2">
        <v>5277</v>
      </c>
      <c r="F2148" s="8" t="s">
        <v>152</v>
      </c>
      <c r="G2148" s="24">
        <v>12</v>
      </c>
      <c r="H2148" s="165">
        <f t="shared" si="145"/>
        <v>63324</v>
      </c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56"/>
    </row>
    <row r="2149" spans="1:22" x14ac:dyDescent="0.25">
      <c r="A2149" s="25">
        <v>2138</v>
      </c>
      <c r="B2149" s="23"/>
      <c r="C2149" s="11" t="s">
        <v>497</v>
      </c>
      <c r="D2149" s="23"/>
      <c r="E2149" s="2">
        <v>5277</v>
      </c>
      <c r="F2149" s="8" t="s">
        <v>152</v>
      </c>
      <c r="G2149" s="24">
        <v>12</v>
      </c>
      <c r="H2149" s="165">
        <f t="shared" si="145"/>
        <v>63324</v>
      </c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56"/>
    </row>
    <row r="2150" spans="1:22" x14ac:dyDescent="0.25">
      <c r="A2150" s="25">
        <v>2139</v>
      </c>
      <c r="B2150" s="23"/>
      <c r="C2150" s="11" t="s">
        <v>851</v>
      </c>
      <c r="D2150" s="23"/>
      <c r="E2150" s="2">
        <v>5277</v>
      </c>
      <c r="F2150" s="8" t="s">
        <v>152</v>
      </c>
      <c r="G2150" s="24">
        <v>8</v>
      </c>
      <c r="H2150" s="165">
        <f t="shared" si="145"/>
        <v>42216</v>
      </c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56"/>
    </row>
    <row r="2151" spans="1:22" x14ac:dyDescent="0.25">
      <c r="A2151" s="25">
        <v>2140</v>
      </c>
      <c r="B2151" s="23"/>
      <c r="C2151" s="14"/>
      <c r="D2151" s="23"/>
      <c r="E2151" s="84"/>
      <c r="F2151" s="8"/>
      <c r="G2151" s="165"/>
      <c r="H2151" s="165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56"/>
    </row>
    <row r="2152" spans="1:22" ht="30" x14ac:dyDescent="0.25">
      <c r="A2152" s="25">
        <v>2141</v>
      </c>
      <c r="B2152" s="89" t="s">
        <v>141</v>
      </c>
      <c r="C2152" s="90" t="s">
        <v>177</v>
      </c>
      <c r="D2152" s="89" t="s">
        <v>27</v>
      </c>
      <c r="E2152" s="89"/>
      <c r="F2152" s="89"/>
      <c r="G2152" s="163"/>
      <c r="H2152" s="167">
        <v>192750</v>
      </c>
      <c r="I2152" s="89" t="s">
        <v>52</v>
      </c>
      <c r="J2152" s="60"/>
      <c r="K2152" s="60"/>
      <c r="L2152" s="60"/>
      <c r="M2152" s="60"/>
      <c r="N2152" s="60"/>
      <c r="O2152" s="60"/>
      <c r="P2152" s="60">
        <v>1</v>
      </c>
      <c r="Q2152" s="60"/>
      <c r="R2152" s="60"/>
      <c r="S2152" s="60"/>
      <c r="T2152" s="60"/>
      <c r="U2152" s="60"/>
      <c r="V2152" s="56"/>
    </row>
    <row r="2153" spans="1:22" x14ac:dyDescent="0.25">
      <c r="A2153" s="25">
        <v>2142</v>
      </c>
      <c r="B2153" s="23"/>
      <c r="C2153" s="14" t="s">
        <v>170</v>
      </c>
      <c r="D2153" s="23"/>
      <c r="E2153" s="84">
        <v>30</v>
      </c>
      <c r="F2153" s="8" t="s">
        <v>152</v>
      </c>
      <c r="G2153" s="165">
        <v>5000</v>
      </c>
      <c r="H2153" s="165">
        <v>150000</v>
      </c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56"/>
    </row>
    <row r="2154" spans="1:22" x14ac:dyDescent="0.25">
      <c r="A2154" s="25">
        <v>2143</v>
      </c>
      <c r="B2154" s="23"/>
      <c r="C2154" s="14" t="s">
        <v>158</v>
      </c>
      <c r="D2154" s="23"/>
      <c r="E2154" s="84">
        <v>20</v>
      </c>
      <c r="F2154" s="8" t="s">
        <v>152</v>
      </c>
      <c r="G2154" s="165">
        <v>800</v>
      </c>
      <c r="H2154" s="165">
        <v>16000</v>
      </c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56"/>
    </row>
    <row r="2155" spans="1:22" x14ac:dyDescent="0.25">
      <c r="A2155" s="25">
        <v>2144</v>
      </c>
      <c r="B2155" s="23"/>
      <c r="C2155" s="14" t="s">
        <v>178</v>
      </c>
      <c r="D2155" s="23"/>
      <c r="E2155" s="84">
        <v>27</v>
      </c>
      <c r="F2155" s="8" t="s">
        <v>152</v>
      </c>
      <c r="G2155" s="165">
        <v>250</v>
      </c>
      <c r="H2155" s="165">
        <v>6750</v>
      </c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56"/>
    </row>
    <row r="2156" spans="1:22" ht="28.5" x14ac:dyDescent="0.25">
      <c r="A2156" s="25">
        <v>2145</v>
      </c>
      <c r="B2156" s="23"/>
      <c r="C2156" s="14" t="s">
        <v>179</v>
      </c>
      <c r="D2156" s="23"/>
      <c r="E2156" s="84">
        <v>20</v>
      </c>
      <c r="F2156" s="8" t="s">
        <v>152</v>
      </c>
      <c r="G2156" s="165">
        <v>1000</v>
      </c>
      <c r="H2156" s="165">
        <v>20000</v>
      </c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56"/>
    </row>
    <row r="2157" spans="1:22" x14ac:dyDescent="0.25">
      <c r="A2157" s="25">
        <v>2146</v>
      </c>
      <c r="B2157" s="23"/>
      <c r="C2157" s="14"/>
      <c r="D2157" s="23"/>
      <c r="E2157" s="84"/>
      <c r="F2157" s="23"/>
      <c r="G2157" s="165"/>
      <c r="H2157" s="165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56"/>
    </row>
    <row r="2158" spans="1:22" ht="30" x14ac:dyDescent="0.25">
      <c r="A2158" s="25">
        <v>2147</v>
      </c>
      <c r="B2158" s="89" t="s">
        <v>141</v>
      </c>
      <c r="C2158" s="90" t="s">
        <v>180</v>
      </c>
      <c r="D2158" s="89" t="s">
        <v>27</v>
      </c>
      <c r="E2158" s="89"/>
      <c r="F2158" s="89"/>
      <c r="G2158" s="163"/>
      <c r="H2158" s="167">
        <v>6927000</v>
      </c>
      <c r="I2158" s="89" t="s">
        <v>52</v>
      </c>
      <c r="J2158" s="60">
        <v>3</v>
      </c>
      <c r="K2158" s="60">
        <v>3</v>
      </c>
      <c r="L2158" s="60">
        <v>3</v>
      </c>
      <c r="M2158" s="60">
        <v>3</v>
      </c>
      <c r="N2158" s="60">
        <v>3</v>
      </c>
      <c r="O2158" s="60">
        <v>3</v>
      </c>
      <c r="P2158" s="60">
        <v>3</v>
      </c>
      <c r="Q2158" s="60">
        <v>3</v>
      </c>
      <c r="R2158" s="60">
        <v>3</v>
      </c>
      <c r="S2158" s="60">
        <v>3</v>
      </c>
      <c r="T2158" s="60">
        <v>3</v>
      </c>
      <c r="U2158" s="60">
        <v>3</v>
      </c>
      <c r="V2158" s="56"/>
    </row>
    <row r="2159" spans="1:22" x14ac:dyDescent="0.25">
      <c r="A2159" s="25">
        <v>2148</v>
      </c>
      <c r="B2159" s="23"/>
      <c r="C2159" s="14" t="s">
        <v>148</v>
      </c>
      <c r="D2159" s="23"/>
      <c r="E2159" s="84">
        <v>300</v>
      </c>
      <c r="F2159" s="23" t="s">
        <v>309</v>
      </c>
      <c r="G2159" s="165">
        <v>15000</v>
      </c>
      <c r="H2159" s="165">
        <f>G2159*E2159</f>
        <v>4500000</v>
      </c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56"/>
    </row>
    <row r="2160" spans="1:22" x14ac:dyDescent="0.25">
      <c r="A2160" s="25">
        <v>2149</v>
      </c>
      <c r="B2160" s="23"/>
      <c r="C2160" s="14" t="s">
        <v>182</v>
      </c>
      <c r="D2160" s="23"/>
      <c r="E2160" s="84">
        <v>600</v>
      </c>
      <c r="F2160" s="23" t="s">
        <v>128</v>
      </c>
      <c r="G2160" s="165">
        <v>4045</v>
      </c>
      <c r="H2160" s="165">
        <f>G2160*E2160</f>
        <v>2427000</v>
      </c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56"/>
    </row>
    <row r="2161" spans="1:22" x14ac:dyDescent="0.25">
      <c r="A2161" s="25">
        <v>2150</v>
      </c>
      <c r="B2161" s="23"/>
      <c r="C2161" s="14"/>
      <c r="D2161" s="23"/>
      <c r="E2161" s="84"/>
      <c r="F2161" s="23"/>
      <c r="G2161" s="165"/>
      <c r="H2161" s="165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56"/>
    </row>
    <row r="2162" spans="1:22" ht="45" x14ac:dyDescent="0.25">
      <c r="A2162" s="25">
        <v>2151</v>
      </c>
      <c r="B2162" s="89" t="s">
        <v>141</v>
      </c>
      <c r="C2162" s="90" t="s">
        <v>183</v>
      </c>
      <c r="D2162" s="89" t="s">
        <v>27</v>
      </c>
      <c r="E2162" s="89"/>
      <c r="F2162" s="89"/>
      <c r="G2162" s="163"/>
      <c r="H2162" s="167">
        <v>1466400</v>
      </c>
      <c r="I2162" s="89" t="s">
        <v>52</v>
      </c>
      <c r="J2162" s="60"/>
      <c r="K2162" s="60"/>
      <c r="L2162" s="60"/>
      <c r="M2162" s="60"/>
      <c r="N2162" s="60">
        <v>2</v>
      </c>
      <c r="O2162" s="60"/>
      <c r="P2162" s="60"/>
      <c r="Q2162" s="60"/>
      <c r="R2162" s="60"/>
      <c r="S2162" s="60"/>
      <c r="T2162" s="60"/>
      <c r="U2162" s="60"/>
      <c r="V2162" s="56"/>
    </row>
    <row r="2163" spans="1:22" x14ac:dyDescent="0.25">
      <c r="A2163" s="25">
        <v>2152</v>
      </c>
      <c r="B2163" s="23"/>
      <c r="C2163" s="14" t="s">
        <v>184</v>
      </c>
      <c r="D2163" s="23"/>
      <c r="E2163" s="84">
        <f>520*4</f>
        <v>2080</v>
      </c>
      <c r="F2163" s="23" t="s">
        <v>475</v>
      </c>
      <c r="G2163" s="165">
        <v>705</v>
      </c>
      <c r="H2163" s="165">
        <f>G2163*E2163</f>
        <v>1466400</v>
      </c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56"/>
    </row>
    <row r="2164" spans="1:22" x14ac:dyDescent="0.25">
      <c r="A2164" s="25">
        <v>2153</v>
      </c>
      <c r="B2164" s="23"/>
      <c r="C2164" s="14"/>
      <c r="D2164" s="23"/>
      <c r="E2164" s="84"/>
      <c r="F2164" s="23"/>
      <c r="G2164" s="165"/>
      <c r="H2164" s="165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56"/>
    </row>
    <row r="2165" spans="1:22" ht="45" x14ac:dyDescent="0.25">
      <c r="A2165" s="25">
        <v>2154</v>
      </c>
      <c r="B2165" s="89" t="s">
        <v>141</v>
      </c>
      <c r="C2165" s="90" t="s">
        <v>42</v>
      </c>
      <c r="D2165" s="89" t="s">
        <v>27</v>
      </c>
      <c r="E2165" s="89"/>
      <c r="F2165" s="89"/>
      <c r="G2165" s="163"/>
      <c r="H2165" s="167">
        <v>618760</v>
      </c>
      <c r="I2165" s="89" t="s">
        <v>52</v>
      </c>
      <c r="J2165" s="60"/>
      <c r="K2165" s="60"/>
      <c r="L2165" s="60"/>
      <c r="M2165" s="60">
        <v>2</v>
      </c>
      <c r="N2165" s="60"/>
      <c r="O2165" s="60"/>
      <c r="P2165" s="60"/>
      <c r="Q2165" s="60"/>
      <c r="R2165" s="60"/>
      <c r="S2165" s="60">
        <v>4</v>
      </c>
      <c r="T2165" s="60"/>
      <c r="U2165" s="60"/>
      <c r="V2165" s="56"/>
    </row>
    <row r="2166" spans="1:22" x14ac:dyDescent="0.25">
      <c r="A2166" s="25">
        <v>2155</v>
      </c>
      <c r="B2166" s="23"/>
      <c r="C2166" s="11" t="s">
        <v>389</v>
      </c>
      <c r="D2166" s="23"/>
      <c r="E2166" s="2">
        <f>15*4</f>
        <v>60</v>
      </c>
      <c r="F2166" s="23" t="s">
        <v>309</v>
      </c>
      <c r="G2166" s="24">
        <v>230</v>
      </c>
      <c r="H2166" s="165">
        <f>G2166*E2166</f>
        <v>13800</v>
      </c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56"/>
    </row>
    <row r="2167" spans="1:22" x14ac:dyDescent="0.25">
      <c r="A2167" s="25">
        <v>2156</v>
      </c>
      <c r="B2167" s="23"/>
      <c r="C2167" s="11" t="s">
        <v>495</v>
      </c>
      <c r="D2167" s="23"/>
      <c r="E2167" s="2">
        <f>3*4</f>
        <v>12</v>
      </c>
      <c r="F2167" s="23" t="s">
        <v>309</v>
      </c>
      <c r="G2167" s="24">
        <v>460</v>
      </c>
      <c r="H2167" s="165">
        <f t="shared" ref="H2167:H2183" si="146">G2167*E2167</f>
        <v>5520</v>
      </c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56"/>
    </row>
    <row r="2168" spans="1:22" x14ac:dyDescent="0.25">
      <c r="A2168" s="25">
        <v>2157</v>
      </c>
      <c r="B2168" s="23"/>
      <c r="C2168" s="11" t="s">
        <v>496</v>
      </c>
      <c r="D2168" s="23"/>
      <c r="E2168" s="2">
        <f>15*4</f>
        <v>60</v>
      </c>
      <c r="F2168" s="23" t="s">
        <v>309</v>
      </c>
      <c r="G2168" s="24">
        <v>390</v>
      </c>
      <c r="H2168" s="165">
        <f t="shared" si="146"/>
        <v>23400</v>
      </c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56"/>
    </row>
    <row r="2169" spans="1:22" x14ac:dyDescent="0.25">
      <c r="A2169" s="25">
        <v>2158</v>
      </c>
      <c r="B2169" s="23"/>
      <c r="C2169" s="16" t="s">
        <v>497</v>
      </c>
      <c r="D2169" s="23"/>
      <c r="E2169" s="25">
        <f>42*4</f>
        <v>168</v>
      </c>
      <c r="F2169" s="23" t="s">
        <v>567</v>
      </c>
      <c r="G2169" s="136">
        <v>765</v>
      </c>
      <c r="H2169" s="165">
        <f t="shared" si="146"/>
        <v>128520</v>
      </c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56"/>
    </row>
    <row r="2170" spans="1:22" x14ac:dyDescent="0.25">
      <c r="A2170" s="25">
        <v>2159</v>
      </c>
      <c r="B2170" s="23"/>
      <c r="C2170" s="11" t="s">
        <v>391</v>
      </c>
      <c r="D2170" s="23"/>
      <c r="E2170" s="2">
        <f>10*4</f>
        <v>40</v>
      </c>
      <c r="F2170" s="23" t="s">
        <v>567</v>
      </c>
      <c r="G2170" s="24">
        <v>349</v>
      </c>
      <c r="H2170" s="165">
        <f t="shared" si="146"/>
        <v>13960</v>
      </c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56"/>
    </row>
    <row r="2171" spans="1:22" x14ac:dyDescent="0.25">
      <c r="A2171" s="25">
        <v>2160</v>
      </c>
      <c r="B2171" s="23"/>
      <c r="C2171" s="11" t="s">
        <v>392</v>
      </c>
      <c r="D2171" s="23"/>
      <c r="E2171" s="2">
        <f>17*4</f>
        <v>68</v>
      </c>
      <c r="F2171" s="23" t="s">
        <v>309</v>
      </c>
      <c r="G2171" s="24">
        <v>118</v>
      </c>
      <c r="H2171" s="165">
        <f t="shared" si="146"/>
        <v>8024</v>
      </c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56"/>
    </row>
    <row r="2172" spans="1:22" x14ac:dyDescent="0.25">
      <c r="A2172" s="25">
        <v>2161</v>
      </c>
      <c r="B2172" s="23"/>
      <c r="C2172" s="11" t="s">
        <v>855</v>
      </c>
      <c r="D2172" s="23"/>
      <c r="E2172" s="2">
        <f>5*4</f>
        <v>20</v>
      </c>
      <c r="F2172" s="23" t="s">
        <v>567</v>
      </c>
      <c r="G2172" s="24">
        <v>78.3</v>
      </c>
      <c r="H2172" s="165">
        <f t="shared" si="146"/>
        <v>1566</v>
      </c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56"/>
    </row>
    <row r="2173" spans="1:22" x14ac:dyDescent="0.25">
      <c r="A2173" s="25">
        <v>2162</v>
      </c>
      <c r="B2173" s="23"/>
      <c r="C2173" s="11" t="s">
        <v>393</v>
      </c>
      <c r="D2173" s="23"/>
      <c r="E2173" s="2">
        <f>20*4</f>
        <v>80</v>
      </c>
      <c r="F2173" s="23" t="s">
        <v>567</v>
      </c>
      <c r="G2173" s="24">
        <v>290</v>
      </c>
      <c r="H2173" s="165">
        <f t="shared" si="146"/>
        <v>23200</v>
      </c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56"/>
    </row>
    <row r="2174" spans="1:22" x14ac:dyDescent="0.25">
      <c r="A2174" s="25">
        <v>2163</v>
      </c>
      <c r="B2174" s="23"/>
      <c r="C2174" s="11" t="s">
        <v>498</v>
      </c>
      <c r="D2174" s="23"/>
      <c r="E2174" s="2">
        <f>30*4</f>
        <v>120</v>
      </c>
      <c r="F2174" s="23" t="s">
        <v>309</v>
      </c>
      <c r="G2174" s="24">
        <v>154</v>
      </c>
      <c r="H2174" s="165">
        <f t="shared" si="146"/>
        <v>18480</v>
      </c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56"/>
    </row>
    <row r="2175" spans="1:22" x14ac:dyDescent="0.25">
      <c r="A2175" s="25">
        <v>2164</v>
      </c>
      <c r="B2175" s="23"/>
      <c r="C2175" s="11" t="s">
        <v>394</v>
      </c>
      <c r="D2175" s="23"/>
      <c r="E2175" s="2">
        <f>20*4</f>
        <v>80</v>
      </c>
      <c r="F2175" s="23" t="s">
        <v>309</v>
      </c>
      <c r="G2175" s="24">
        <v>119</v>
      </c>
      <c r="H2175" s="165">
        <f t="shared" si="146"/>
        <v>9520</v>
      </c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56"/>
    </row>
    <row r="2176" spans="1:22" x14ac:dyDescent="0.25">
      <c r="A2176" s="25">
        <v>2165</v>
      </c>
      <c r="B2176" s="23"/>
      <c r="C2176" s="11" t="s">
        <v>499</v>
      </c>
      <c r="D2176" s="23"/>
      <c r="E2176" s="2">
        <f>20*4</f>
        <v>80</v>
      </c>
      <c r="F2176" s="23" t="s">
        <v>309</v>
      </c>
      <c r="G2176" s="24">
        <v>110</v>
      </c>
      <c r="H2176" s="165">
        <f t="shared" si="146"/>
        <v>8800</v>
      </c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56"/>
    </row>
    <row r="2177" spans="1:22" x14ac:dyDescent="0.25">
      <c r="A2177" s="25">
        <v>2166</v>
      </c>
      <c r="B2177" s="23"/>
      <c r="C2177" s="11" t="s">
        <v>401</v>
      </c>
      <c r="D2177" s="23"/>
      <c r="E2177" s="2">
        <f>15*4</f>
        <v>60</v>
      </c>
      <c r="F2177" s="23" t="s">
        <v>309</v>
      </c>
      <c r="G2177" s="24">
        <v>90.5</v>
      </c>
      <c r="H2177" s="165">
        <f t="shared" si="146"/>
        <v>5430</v>
      </c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56"/>
    </row>
    <row r="2178" spans="1:22" x14ac:dyDescent="0.25">
      <c r="A2178" s="25">
        <v>2167</v>
      </c>
      <c r="B2178" s="23"/>
      <c r="C2178" s="11" t="s">
        <v>396</v>
      </c>
      <c r="D2178" s="23"/>
      <c r="E2178" s="2">
        <f>5*4</f>
        <v>20</v>
      </c>
      <c r="F2178" s="23" t="s">
        <v>309</v>
      </c>
      <c r="G2178" s="24">
        <v>103</v>
      </c>
      <c r="H2178" s="165">
        <f t="shared" si="146"/>
        <v>2060</v>
      </c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56"/>
    </row>
    <row r="2179" spans="1:22" x14ac:dyDescent="0.25">
      <c r="A2179" s="25">
        <v>2168</v>
      </c>
      <c r="B2179" s="23"/>
      <c r="C2179" s="11" t="s">
        <v>397</v>
      </c>
      <c r="D2179" s="23"/>
      <c r="E2179" s="2">
        <f>25*4</f>
        <v>100</v>
      </c>
      <c r="F2179" s="23" t="s">
        <v>309</v>
      </c>
      <c r="G2179" s="24">
        <v>144</v>
      </c>
      <c r="H2179" s="165">
        <f t="shared" si="146"/>
        <v>14400</v>
      </c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56"/>
    </row>
    <row r="2180" spans="1:22" x14ac:dyDescent="0.25">
      <c r="A2180" s="25">
        <v>2169</v>
      </c>
      <c r="B2180" s="23"/>
      <c r="C2180" s="11" t="s">
        <v>398</v>
      </c>
      <c r="D2180" s="23"/>
      <c r="E2180" s="2">
        <f>25*4</f>
        <v>100</v>
      </c>
      <c r="F2180" s="23" t="s">
        <v>309</v>
      </c>
      <c r="G2180" s="24">
        <v>104</v>
      </c>
      <c r="H2180" s="165">
        <f t="shared" si="146"/>
        <v>10400</v>
      </c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56"/>
    </row>
    <row r="2181" spans="1:22" x14ac:dyDescent="0.25">
      <c r="A2181" s="25">
        <v>2170</v>
      </c>
      <c r="B2181" s="23"/>
      <c r="C2181" s="11" t="s">
        <v>399</v>
      </c>
      <c r="D2181" s="23"/>
      <c r="E2181" s="2">
        <f>25*4</f>
        <v>100</v>
      </c>
      <c r="F2181" s="23" t="s">
        <v>309</v>
      </c>
      <c r="G2181" s="24">
        <v>115</v>
      </c>
      <c r="H2181" s="165">
        <f t="shared" si="146"/>
        <v>11500</v>
      </c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56"/>
    </row>
    <row r="2182" spans="1:22" x14ac:dyDescent="0.25">
      <c r="A2182" s="25">
        <v>2171</v>
      </c>
      <c r="B2182" s="23"/>
      <c r="C2182" s="11" t="s">
        <v>400</v>
      </c>
      <c r="D2182" s="23"/>
      <c r="E2182" s="2">
        <f>20*4</f>
        <v>80</v>
      </c>
      <c r="F2182" s="23" t="s">
        <v>309</v>
      </c>
      <c r="G2182" s="24">
        <v>105.25</v>
      </c>
      <c r="H2182" s="165">
        <f t="shared" si="146"/>
        <v>8420</v>
      </c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56"/>
    </row>
    <row r="2183" spans="1:22" x14ac:dyDescent="0.25">
      <c r="A2183" s="25">
        <v>2172</v>
      </c>
      <c r="B2183" s="23"/>
      <c r="C2183" s="11" t="s">
        <v>500</v>
      </c>
      <c r="D2183" s="23"/>
      <c r="E2183" s="2">
        <f>40*4</f>
        <v>160</v>
      </c>
      <c r="F2183" s="23" t="s">
        <v>309</v>
      </c>
      <c r="G2183" s="24">
        <v>109</v>
      </c>
      <c r="H2183" s="165">
        <f t="shared" si="146"/>
        <v>17440</v>
      </c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56"/>
    </row>
    <row r="2184" spans="1:22" x14ac:dyDescent="0.25">
      <c r="A2184" s="25">
        <v>2173</v>
      </c>
      <c r="B2184" s="23"/>
      <c r="C2184" s="16" t="s">
        <v>842</v>
      </c>
      <c r="D2184" s="23"/>
      <c r="E2184" s="8">
        <v>260</v>
      </c>
      <c r="F2184" s="8" t="s">
        <v>152</v>
      </c>
      <c r="G2184" s="31">
        <v>155</v>
      </c>
      <c r="H2184" s="165">
        <f>G2184*E2184</f>
        <v>40300</v>
      </c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56"/>
    </row>
    <row r="2185" spans="1:22" x14ac:dyDescent="0.25">
      <c r="A2185" s="25">
        <v>2174</v>
      </c>
      <c r="B2185" s="23"/>
      <c r="C2185" s="16" t="s">
        <v>843</v>
      </c>
      <c r="D2185" s="23"/>
      <c r="E2185" s="8">
        <v>260</v>
      </c>
      <c r="F2185" s="8" t="s">
        <v>152</v>
      </c>
      <c r="G2185" s="31">
        <v>180</v>
      </c>
      <c r="H2185" s="165">
        <f t="shared" ref="H2185:H2193" si="147">G2185*E2185</f>
        <v>46800</v>
      </c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56"/>
    </row>
    <row r="2186" spans="1:22" x14ac:dyDescent="0.25">
      <c r="A2186" s="25">
        <v>2175</v>
      </c>
      <c r="B2186" s="23"/>
      <c r="C2186" s="16" t="s">
        <v>844</v>
      </c>
      <c r="D2186" s="23"/>
      <c r="E2186" s="8">
        <v>260</v>
      </c>
      <c r="F2186" s="8" t="s">
        <v>152</v>
      </c>
      <c r="G2186" s="31">
        <v>50</v>
      </c>
      <c r="H2186" s="165">
        <f t="shared" si="147"/>
        <v>13000</v>
      </c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56"/>
    </row>
    <row r="2187" spans="1:22" x14ac:dyDescent="0.25">
      <c r="A2187" s="25">
        <v>2176</v>
      </c>
      <c r="B2187" s="23"/>
      <c r="C2187" s="16" t="s">
        <v>845</v>
      </c>
      <c r="D2187" s="23"/>
      <c r="E2187" s="8">
        <v>260</v>
      </c>
      <c r="F2187" s="8" t="s">
        <v>152</v>
      </c>
      <c r="G2187" s="31">
        <v>210</v>
      </c>
      <c r="H2187" s="165">
        <f t="shared" si="147"/>
        <v>54600</v>
      </c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56"/>
    </row>
    <row r="2188" spans="1:22" x14ac:dyDescent="0.25">
      <c r="A2188" s="25">
        <v>2177</v>
      </c>
      <c r="B2188" s="23"/>
      <c r="C2188" s="16" t="s">
        <v>846</v>
      </c>
      <c r="D2188" s="23"/>
      <c r="E2188" s="8">
        <v>260</v>
      </c>
      <c r="F2188" s="8" t="s">
        <v>152</v>
      </c>
      <c r="G2188" s="31">
        <v>140</v>
      </c>
      <c r="H2188" s="165">
        <f t="shared" si="147"/>
        <v>36400</v>
      </c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56"/>
    </row>
    <row r="2189" spans="1:22" x14ac:dyDescent="0.25">
      <c r="A2189" s="25">
        <v>2178</v>
      </c>
      <c r="B2189" s="23"/>
      <c r="C2189" s="16" t="s">
        <v>847</v>
      </c>
      <c r="D2189" s="23"/>
      <c r="E2189" s="8">
        <v>260</v>
      </c>
      <c r="F2189" s="8" t="s">
        <v>152</v>
      </c>
      <c r="G2189" s="31">
        <v>200</v>
      </c>
      <c r="H2189" s="165">
        <f t="shared" si="147"/>
        <v>52000</v>
      </c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56"/>
    </row>
    <row r="2190" spans="1:22" x14ac:dyDescent="0.25">
      <c r="A2190" s="25">
        <v>2179</v>
      </c>
      <c r="B2190" s="23"/>
      <c r="C2190" s="16" t="s">
        <v>848</v>
      </c>
      <c r="D2190" s="23"/>
      <c r="E2190" s="8">
        <v>260</v>
      </c>
      <c r="F2190" s="8" t="s">
        <v>152</v>
      </c>
      <c r="G2190" s="31">
        <v>100</v>
      </c>
      <c r="H2190" s="165">
        <f t="shared" si="147"/>
        <v>26000</v>
      </c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56"/>
    </row>
    <row r="2191" spans="1:22" x14ac:dyDescent="0.25">
      <c r="A2191" s="25">
        <v>2180</v>
      </c>
      <c r="B2191" s="23"/>
      <c r="C2191" s="16" t="s">
        <v>849</v>
      </c>
      <c r="D2191" s="23"/>
      <c r="E2191" s="8">
        <f>3*260</f>
        <v>780</v>
      </c>
      <c r="F2191" s="8" t="s">
        <v>152</v>
      </c>
      <c r="G2191" s="136">
        <v>15</v>
      </c>
      <c r="H2191" s="165">
        <f t="shared" si="147"/>
        <v>11700</v>
      </c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56"/>
    </row>
    <row r="2192" spans="1:22" x14ac:dyDescent="0.25">
      <c r="A2192" s="25">
        <v>2181</v>
      </c>
      <c r="B2192" s="23"/>
      <c r="C2192" s="16" t="s">
        <v>850</v>
      </c>
      <c r="D2192" s="23"/>
      <c r="E2192" s="8">
        <f>2*260</f>
        <v>520</v>
      </c>
      <c r="F2192" s="8" t="s">
        <v>152</v>
      </c>
      <c r="G2192" s="136">
        <v>15</v>
      </c>
      <c r="H2192" s="165">
        <f t="shared" si="147"/>
        <v>7800</v>
      </c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56"/>
    </row>
    <row r="2193" spans="1:22" x14ac:dyDescent="0.25">
      <c r="A2193" s="25">
        <v>2182</v>
      </c>
      <c r="B2193" s="23"/>
      <c r="C2193" s="16" t="s">
        <v>851</v>
      </c>
      <c r="D2193" s="23"/>
      <c r="E2193" s="8">
        <f>2*260</f>
        <v>520</v>
      </c>
      <c r="F2193" s="8" t="s">
        <v>152</v>
      </c>
      <c r="G2193" s="136">
        <v>11</v>
      </c>
      <c r="H2193" s="165">
        <f t="shared" si="147"/>
        <v>5720</v>
      </c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56"/>
    </row>
    <row r="2194" spans="1:22" x14ac:dyDescent="0.25">
      <c r="A2194" s="25">
        <v>2183</v>
      </c>
      <c r="B2194" s="23"/>
      <c r="C2194" s="14"/>
      <c r="D2194" s="23"/>
      <c r="E2194" s="84"/>
      <c r="F2194" s="23"/>
      <c r="G2194" s="165"/>
      <c r="H2194" s="165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56"/>
    </row>
    <row r="2195" spans="1:22" ht="30" x14ac:dyDescent="0.25">
      <c r="A2195" s="25">
        <v>2184</v>
      </c>
      <c r="B2195" s="89" t="s">
        <v>141</v>
      </c>
      <c r="C2195" s="90" t="s">
        <v>185</v>
      </c>
      <c r="D2195" s="89" t="s">
        <v>27</v>
      </c>
      <c r="E2195" s="89"/>
      <c r="F2195" s="89"/>
      <c r="G2195" s="163"/>
      <c r="H2195" s="167">
        <v>700000</v>
      </c>
      <c r="I2195" s="89" t="s">
        <v>52</v>
      </c>
      <c r="J2195" s="60"/>
      <c r="K2195" s="60"/>
      <c r="L2195" s="60"/>
      <c r="M2195" s="60">
        <v>2</v>
      </c>
      <c r="N2195" s="60"/>
      <c r="O2195" s="60"/>
      <c r="P2195" s="60">
        <v>3</v>
      </c>
      <c r="Q2195" s="60"/>
      <c r="R2195" s="60"/>
      <c r="S2195" s="60"/>
      <c r="T2195" s="60"/>
      <c r="U2195" s="60"/>
      <c r="V2195" s="56"/>
    </row>
    <row r="2196" spans="1:22" x14ac:dyDescent="0.25">
      <c r="A2196" s="25">
        <v>2185</v>
      </c>
      <c r="B2196" s="23"/>
      <c r="C2196" s="11" t="s">
        <v>158</v>
      </c>
      <c r="D2196" s="23"/>
      <c r="E2196" s="2">
        <v>50</v>
      </c>
      <c r="F2196" s="2" t="s">
        <v>300</v>
      </c>
      <c r="G2196" s="53">
        <v>2000</v>
      </c>
      <c r="H2196" s="165">
        <f>G2196*E2196</f>
        <v>100000</v>
      </c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56"/>
    </row>
    <row r="2197" spans="1:22" x14ac:dyDescent="0.25">
      <c r="A2197" s="25">
        <v>2186</v>
      </c>
      <c r="B2197" s="23"/>
      <c r="C2197" s="11" t="s">
        <v>1239</v>
      </c>
      <c r="D2197" s="23"/>
      <c r="E2197" s="2">
        <v>50</v>
      </c>
      <c r="F2197" s="2" t="s">
        <v>300</v>
      </c>
      <c r="G2197" s="53">
        <v>9880</v>
      </c>
      <c r="H2197" s="165">
        <f>G2197*E2197</f>
        <v>494000</v>
      </c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56"/>
    </row>
    <row r="2198" spans="1:22" x14ac:dyDescent="0.25">
      <c r="A2198" s="25">
        <v>2187</v>
      </c>
      <c r="B2198" s="23"/>
      <c r="C2198" s="11" t="s">
        <v>1240</v>
      </c>
      <c r="D2198" s="23"/>
      <c r="E2198" s="2">
        <v>50</v>
      </c>
      <c r="F2198" s="2" t="s">
        <v>300</v>
      </c>
      <c r="G2198" s="53">
        <v>1800</v>
      </c>
      <c r="H2198" s="165">
        <f>G2198*E2198</f>
        <v>90000</v>
      </c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56"/>
    </row>
    <row r="2199" spans="1:22" x14ac:dyDescent="0.25">
      <c r="A2199" s="25">
        <v>2188</v>
      </c>
      <c r="B2199" s="23"/>
      <c r="C2199" s="11" t="s">
        <v>1241</v>
      </c>
      <c r="D2199" s="23"/>
      <c r="E2199" s="2">
        <v>4</v>
      </c>
      <c r="F2199" s="2" t="s">
        <v>300</v>
      </c>
      <c r="G2199" s="53">
        <v>4000</v>
      </c>
      <c r="H2199" s="165">
        <f>G2199*E2199</f>
        <v>16000</v>
      </c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56"/>
    </row>
    <row r="2200" spans="1:22" x14ac:dyDescent="0.25">
      <c r="A2200" s="25">
        <v>2189</v>
      </c>
      <c r="B2200" s="23"/>
      <c r="C2200" s="14"/>
      <c r="D2200" s="23"/>
      <c r="E2200" s="84"/>
      <c r="F2200" s="23"/>
      <c r="G2200" s="165"/>
      <c r="H2200" s="165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56"/>
    </row>
    <row r="2201" spans="1:22" ht="30" x14ac:dyDescent="0.25">
      <c r="A2201" s="25">
        <v>2190</v>
      </c>
      <c r="B2201" s="89" t="s">
        <v>141</v>
      </c>
      <c r="C2201" s="90" t="s">
        <v>99</v>
      </c>
      <c r="D2201" s="89" t="s">
        <v>27</v>
      </c>
      <c r="E2201" s="89"/>
      <c r="F2201" s="89"/>
      <c r="G2201" s="163"/>
      <c r="H2201" s="167">
        <v>88950</v>
      </c>
      <c r="I2201" s="89" t="s">
        <v>52</v>
      </c>
      <c r="J2201" s="60"/>
      <c r="K2201" s="60"/>
      <c r="L2201" s="60"/>
      <c r="M2201" s="60">
        <v>1</v>
      </c>
      <c r="N2201" s="60"/>
      <c r="O2201" s="60"/>
      <c r="P2201" s="60"/>
      <c r="Q2201" s="60"/>
      <c r="R2201" s="60"/>
      <c r="S2201" s="60"/>
      <c r="T2201" s="60"/>
      <c r="U2201" s="60"/>
      <c r="V2201" s="56"/>
    </row>
    <row r="2202" spans="1:22" x14ac:dyDescent="0.25">
      <c r="A2202" s="25">
        <v>2191</v>
      </c>
      <c r="B2202" s="23"/>
      <c r="C2202" s="111" t="s">
        <v>850</v>
      </c>
      <c r="D2202" s="23"/>
      <c r="E2202" s="112">
        <f>20*2</f>
        <v>40</v>
      </c>
      <c r="F2202" s="23" t="s">
        <v>309</v>
      </c>
      <c r="G2202" s="186">
        <v>119</v>
      </c>
      <c r="H2202" s="165">
        <f>G2202*E2202</f>
        <v>4760</v>
      </c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56"/>
    </row>
    <row r="2203" spans="1:22" x14ac:dyDescent="0.25">
      <c r="A2203" s="25">
        <v>2192</v>
      </c>
      <c r="B2203" s="23"/>
      <c r="C2203" s="129" t="s">
        <v>997</v>
      </c>
      <c r="D2203" s="23"/>
      <c r="E2203" s="114">
        <f>10*2</f>
        <v>20</v>
      </c>
      <c r="F2203" s="23" t="s">
        <v>567</v>
      </c>
      <c r="G2203" s="130">
        <v>214</v>
      </c>
      <c r="H2203" s="165">
        <f t="shared" ref="H2203:H2215" si="148">G2203*E2203</f>
        <v>4280</v>
      </c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56"/>
    </row>
    <row r="2204" spans="1:22" x14ac:dyDescent="0.25">
      <c r="A2204" s="25">
        <v>2193</v>
      </c>
      <c r="B2204" s="23"/>
      <c r="C2204" s="129" t="s">
        <v>497</v>
      </c>
      <c r="D2204" s="23"/>
      <c r="E2204" s="114">
        <f>25*2</f>
        <v>50</v>
      </c>
      <c r="F2204" s="23" t="s">
        <v>567</v>
      </c>
      <c r="G2204" s="130">
        <v>950</v>
      </c>
      <c r="H2204" s="165">
        <f t="shared" si="148"/>
        <v>47500</v>
      </c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56"/>
    </row>
    <row r="2205" spans="1:22" x14ac:dyDescent="0.25">
      <c r="A2205" s="25">
        <v>2194</v>
      </c>
      <c r="B2205" s="23"/>
      <c r="C2205" s="129" t="s">
        <v>391</v>
      </c>
      <c r="D2205" s="23"/>
      <c r="E2205" s="114">
        <f>40*2</f>
        <v>80</v>
      </c>
      <c r="F2205" s="114" t="s">
        <v>152</v>
      </c>
      <c r="G2205" s="130">
        <v>59</v>
      </c>
      <c r="H2205" s="165">
        <f t="shared" si="148"/>
        <v>4720</v>
      </c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56"/>
    </row>
    <row r="2206" spans="1:22" x14ac:dyDescent="0.25">
      <c r="A2206" s="25">
        <v>2195</v>
      </c>
      <c r="B2206" s="23"/>
      <c r="C2206" s="111" t="s">
        <v>392</v>
      </c>
      <c r="D2206" s="23"/>
      <c r="E2206" s="114">
        <f>8*2</f>
        <v>16</v>
      </c>
      <c r="F2206" s="23" t="s">
        <v>309</v>
      </c>
      <c r="G2206" s="130">
        <v>117</v>
      </c>
      <c r="H2206" s="165">
        <f t="shared" si="148"/>
        <v>1872</v>
      </c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56"/>
    </row>
    <row r="2207" spans="1:22" x14ac:dyDescent="0.25">
      <c r="A2207" s="25">
        <v>2196</v>
      </c>
      <c r="B2207" s="23"/>
      <c r="C2207" s="129" t="s">
        <v>998</v>
      </c>
      <c r="D2207" s="23"/>
      <c r="E2207" s="114">
        <f>8*2</f>
        <v>16</v>
      </c>
      <c r="F2207" s="23" t="s">
        <v>309</v>
      </c>
      <c r="G2207" s="130">
        <v>122</v>
      </c>
      <c r="H2207" s="165">
        <f t="shared" si="148"/>
        <v>1952</v>
      </c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56"/>
    </row>
    <row r="2208" spans="1:22" x14ac:dyDescent="0.25">
      <c r="A2208" s="25">
        <v>2197</v>
      </c>
      <c r="B2208" s="23"/>
      <c r="C2208" s="129" t="s">
        <v>393</v>
      </c>
      <c r="D2208" s="23"/>
      <c r="E2208" s="112">
        <f>25*2</f>
        <v>50</v>
      </c>
      <c r="F2208" s="23" t="s">
        <v>567</v>
      </c>
      <c r="G2208" s="186">
        <v>150</v>
      </c>
      <c r="H2208" s="165">
        <f t="shared" si="148"/>
        <v>7500</v>
      </c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56"/>
    </row>
    <row r="2209" spans="1:22" x14ac:dyDescent="0.25">
      <c r="A2209" s="25">
        <v>2198</v>
      </c>
      <c r="B2209" s="23"/>
      <c r="C2209" s="111" t="s">
        <v>498</v>
      </c>
      <c r="D2209" s="23"/>
      <c r="E2209" s="112">
        <f>9*2</f>
        <v>18</v>
      </c>
      <c r="F2209" s="23" t="s">
        <v>309</v>
      </c>
      <c r="G2209" s="186">
        <v>90</v>
      </c>
      <c r="H2209" s="165">
        <f t="shared" si="148"/>
        <v>1620</v>
      </c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56"/>
    </row>
    <row r="2210" spans="1:22" x14ac:dyDescent="0.25">
      <c r="A2210" s="25">
        <v>2199</v>
      </c>
      <c r="B2210" s="23"/>
      <c r="C2210" s="111" t="s">
        <v>999</v>
      </c>
      <c r="D2210" s="23"/>
      <c r="E2210" s="112">
        <f t="shared" ref="E2210:E2213" si="149">9*2</f>
        <v>18</v>
      </c>
      <c r="F2210" s="23" t="s">
        <v>309</v>
      </c>
      <c r="G2210" s="186">
        <v>119</v>
      </c>
      <c r="H2210" s="165">
        <f t="shared" si="148"/>
        <v>2142</v>
      </c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56"/>
    </row>
    <row r="2211" spans="1:22" x14ac:dyDescent="0.25">
      <c r="A2211" s="25">
        <v>2200</v>
      </c>
      <c r="B2211" s="23"/>
      <c r="C2211" s="111" t="s">
        <v>499</v>
      </c>
      <c r="D2211" s="23"/>
      <c r="E2211" s="112">
        <f t="shared" si="149"/>
        <v>18</v>
      </c>
      <c r="F2211" s="23" t="s">
        <v>309</v>
      </c>
      <c r="G2211" s="186">
        <v>84</v>
      </c>
      <c r="H2211" s="165">
        <f t="shared" si="148"/>
        <v>1512</v>
      </c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56"/>
    </row>
    <row r="2212" spans="1:22" x14ac:dyDescent="0.25">
      <c r="A2212" s="25">
        <v>2201</v>
      </c>
      <c r="B2212" s="23"/>
      <c r="C2212" s="111" t="s">
        <v>401</v>
      </c>
      <c r="D2212" s="23"/>
      <c r="E2212" s="112">
        <f t="shared" si="149"/>
        <v>18</v>
      </c>
      <c r="F2212" s="23" t="s">
        <v>309</v>
      </c>
      <c r="G2212" s="186">
        <v>75</v>
      </c>
      <c r="H2212" s="165">
        <f t="shared" si="148"/>
        <v>1350</v>
      </c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56"/>
    </row>
    <row r="2213" spans="1:22" x14ac:dyDescent="0.25">
      <c r="A2213" s="25">
        <v>2202</v>
      </c>
      <c r="B2213" s="23"/>
      <c r="C2213" s="111" t="s">
        <v>395</v>
      </c>
      <c r="D2213" s="23"/>
      <c r="E2213" s="112">
        <f t="shared" si="149"/>
        <v>18</v>
      </c>
      <c r="F2213" s="23" t="s">
        <v>309</v>
      </c>
      <c r="G2213" s="186">
        <v>84</v>
      </c>
      <c r="H2213" s="165">
        <f t="shared" si="148"/>
        <v>1512</v>
      </c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56"/>
    </row>
    <row r="2214" spans="1:22" x14ac:dyDescent="0.25">
      <c r="A2214" s="25">
        <v>2203</v>
      </c>
      <c r="B2214" s="23"/>
      <c r="C2214" s="111" t="s">
        <v>397</v>
      </c>
      <c r="D2214" s="23"/>
      <c r="E2214" s="112">
        <f>17*2</f>
        <v>34</v>
      </c>
      <c r="F2214" s="23" t="s">
        <v>309</v>
      </c>
      <c r="G2214" s="186">
        <v>115</v>
      </c>
      <c r="H2214" s="165">
        <f t="shared" si="148"/>
        <v>3910</v>
      </c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56"/>
    </row>
    <row r="2215" spans="1:22" x14ac:dyDescent="0.25">
      <c r="A2215" s="25">
        <v>2204</v>
      </c>
      <c r="B2215" s="23"/>
      <c r="C2215" s="111" t="s">
        <v>500</v>
      </c>
      <c r="D2215" s="23"/>
      <c r="E2215" s="112">
        <f>20*2</f>
        <v>40</v>
      </c>
      <c r="F2215" s="23" t="s">
        <v>309</v>
      </c>
      <c r="G2215" s="186">
        <v>108</v>
      </c>
      <c r="H2215" s="165">
        <f t="shared" si="148"/>
        <v>4320</v>
      </c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56"/>
    </row>
    <row r="2216" spans="1:22" x14ac:dyDescent="0.25">
      <c r="A2216" s="25">
        <v>2205</v>
      </c>
      <c r="B2216" s="23"/>
      <c r="C2216" s="14"/>
      <c r="D2216" s="23"/>
      <c r="E2216" s="84"/>
      <c r="F2216" s="23"/>
      <c r="G2216" s="165"/>
      <c r="H2216" s="165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56"/>
    </row>
    <row r="2217" spans="1:22" ht="30" x14ac:dyDescent="0.25">
      <c r="A2217" s="25">
        <v>2206</v>
      </c>
      <c r="B2217" s="89" t="s">
        <v>141</v>
      </c>
      <c r="C2217" s="90" t="s">
        <v>47</v>
      </c>
      <c r="D2217" s="89" t="s">
        <v>27</v>
      </c>
      <c r="E2217" s="89"/>
      <c r="F2217" s="89"/>
      <c r="G2217" s="163"/>
      <c r="H2217" s="167">
        <v>52320</v>
      </c>
      <c r="I2217" s="89" t="s">
        <v>52</v>
      </c>
      <c r="J2217" s="60"/>
      <c r="K2217" s="60"/>
      <c r="L2217" s="60"/>
      <c r="M2217" s="60">
        <v>1</v>
      </c>
      <c r="N2217" s="60"/>
      <c r="O2217" s="60"/>
      <c r="P2217" s="60"/>
      <c r="Q2217" s="60"/>
      <c r="R2217" s="60"/>
      <c r="S2217" s="60"/>
      <c r="T2217" s="60"/>
      <c r="U2217" s="60"/>
      <c r="V2217" s="56"/>
    </row>
    <row r="2218" spans="1:22" x14ac:dyDescent="0.25">
      <c r="A2218" s="25">
        <v>2207</v>
      </c>
      <c r="B2218" s="23"/>
      <c r="C2218" s="6" t="s">
        <v>1119</v>
      </c>
      <c r="D2218" s="23"/>
      <c r="E2218" s="7">
        <v>50</v>
      </c>
      <c r="F2218" s="23" t="s">
        <v>567</v>
      </c>
      <c r="G2218" s="45">
        <v>420</v>
      </c>
      <c r="H2218" s="165">
        <f>G2218*E2218</f>
        <v>21000</v>
      </c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56"/>
    </row>
    <row r="2219" spans="1:22" x14ac:dyDescent="0.25">
      <c r="A2219" s="25">
        <v>2208</v>
      </c>
      <c r="B2219" s="23"/>
      <c r="C2219" s="6" t="s">
        <v>1120</v>
      </c>
      <c r="D2219" s="23"/>
      <c r="E2219" s="7">
        <v>43</v>
      </c>
      <c r="F2219" s="23" t="s">
        <v>567</v>
      </c>
      <c r="G2219" s="45">
        <v>100</v>
      </c>
      <c r="H2219" s="165">
        <f>G2219*E2219</f>
        <v>4300</v>
      </c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56"/>
    </row>
    <row r="2220" spans="1:22" x14ac:dyDescent="0.25">
      <c r="A2220" s="25">
        <v>2209</v>
      </c>
      <c r="B2220" s="23"/>
      <c r="C2220" s="6" t="s">
        <v>1121</v>
      </c>
      <c r="D2220" s="23"/>
      <c r="E2220" s="7">
        <v>17</v>
      </c>
      <c r="F2220" s="7" t="s">
        <v>152</v>
      </c>
      <c r="G2220" s="45">
        <v>560</v>
      </c>
      <c r="H2220" s="165">
        <f>G2220*E2220</f>
        <v>9520</v>
      </c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56"/>
    </row>
    <row r="2221" spans="1:22" x14ac:dyDescent="0.25">
      <c r="A2221" s="25">
        <v>2210</v>
      </c>
      <c r="B2221" s="23"/>
      <c r="C2221" s="6" t="s">
        <v>1122</v>
      </c>
      <c r="D2221" s="23"/>
      <c r="E2221" s="7">
        <v>50</v>
      </c>
      <c r="F2221" s="7" t="s">
        <v>152</v>
      </c>
      <c r="G2221" s="45">
        <v>350</v>
      </c>
      <c r="H2221" s="165">
        <f>G2221*E2221</f>
        <v>17500</v>
      </c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56"/>
    </row>
    <row r="2222" spans="1:22" x14ac:dyDescent="0.25">
      <c r="A2222" s="25">
        <v>2211</v>
      </c>
      <c r="B2222" s="23"/>
      <c r="C2222" s="14"/>
      <c r="D2222" s="23"/>
      <c r="E2222" s="84"/>
      <c r="F2222" s="23"/>
      <c r="G2222" s="165"/>
      <c r="H2222" s="165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56"/>
    </row>
    <row r="2223" spans="1:22" ht="30" x14ac:dyDescent="0.25">
      <c r="A2223" s="25">
        <v>2212</v>
      </c>
      <c r="B2223" s="89" t="s">
        <v>141</v>
      </c>
      <c r="C2223" s="90" t="s">
        <v>186</v>
      </c>
      <c r="D2223" s="89" t="s">
        <v>27</v>
      </c>
      <c r="E2223" s="89"/>
      <c r="F2223" s="89"/>
      <c r="G2223" s="163"/>
      <c r="H2223" s="167">
        <v>456000</v>
      </c>
      <c r="I2223" s="89" t="s">
        <v>52</v>
      </c>
      <c r="J2223" s="60">
        <v>2</v>
      </c>
      <c r="K2223" s="60">
        <v>2</v>
      </c>
      <c r="L2223" s="60">
        <v>2</v>
      </c>
      <c r="M2223" s="60">
        <v>2</v>
      </c>
      <c r="N2223" s="60">
        <v>2</v>
      </c>
      <c r="O2223" s="60">
        <v>2</v>
      </c>
      <c r="P2223" s="60">
        <v>2</v>
      </c>
      <c r="Q2223" s="60">
        <v>2</v>
      </c>
      <c r="R2223" s="60">
        <v>2</v>
      </c>
      <c r="S2223" s="60">
        <v>2</v>
      </c>
      <c r="T2223" s="60">
        <v>2</v>
      </c>
      <c r="U2223" s="60">
        <v>2</v>
      </c>
      <c r="V2223" s="56"/>
    </row>
    <row r="2224" spans="1:22" x14ac:dyDescent="0.25">
      <c r="A2224" s="25">
        <v>2213</v>
      </c>
      <c r="B2224" s="23"/>
      <c r="C2224" s="14" t="s">
        <v>1389</v>
      </c>
      <c r="D2224" s="14"/>
      <c r="E2224" s="84">
        <v>16</v>
      </c>
      <c r="F2224" s="7" t="s">
        <v>152</v>
      </c>
      <c r="G2224" s="165">
        <v>7000</v>
      </c>
      <c r="H2224" s="165">
        <v>112000</v>
      </c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56"/>
    </row>
    <row r="2225" spans="1:22" x14ac:dyDescent="0.25">
      <c r="A2225" s="25">
        <v>2214</v>
      </c>
      <c r="B2225" s="23"/>
      <c r="C2225" s="14" t="s">
        <v>1390</v>
      </c>
      <c r="D2225" s="14"/>
      <c r="E2225" s="84">
        <v>16</v>
      </c>
      <c r="F2225" s="7" t="s">
        <v>152</v>
      </c>
      <c r="G2225" s="165">
        <v>7500</v>
      </c>
      <c r="H2225" s="165">
        <v>120000</v>
      </c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56"/>
    </row>
    <row r="2226" spans="1:22" x14ac:dyDescent="0.25">
      <c r="A2226" s="25">
        <v>2215</v>
      </c>
      <c r="B2226" s="23"/>
      <c r="C2226" s="14" t="s">
        <v>1391</v>
      </c>
      <c r="D2226" s="14"/>
      <c r="E2226" s="84">
        <v>16</v>
      </c>
      <c r="F2226" s="7" t="s">
        <v>152</v>
      </c>
      <c r="G2226" s="165">
        <v>7000</v>
      </c>
      <c r="H2226" s="165">
        <v>112000</v>
      </c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56"/>
    </row>
    <row r="2227" spans="1:22" x14ac:dyDescent="0.25">
      <c r="A2227" s="25">
        <v>2216</v>
      </c>
      <c r="B2227" s="23"/>
      <c r="C2227" s="14" t="s">
        <v>1392</v>
      </c>
      <c r="D2227" s="14"/>
      <c r="E2227" s="84">
        <v>16</v>
      </c>
      <c r="F2227" s="7" t="s">
        <v>152</v>
      </c>
      <c r="G2227" s="165">
        <v>1000</v>
      </c>
      <c r="H2227" s="165">
        <v>16000</v>
      </c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56"/>
    </row>
    <row r="2228" spans="1:22" x14ac:dyDescent="0.25">
      <c r="A2228" s="25">
        <v>2217</v>
      </c>
      <c r="B2228" s="23"/>
      <c r="C2228" s="14" t="s">
        <v>172</v>
      </c>
      <c r="D2228" s="14"/>
      <c r="E2228" s="84">
        <v>16</v>
      </c>
      <c r="F2228" s="23" t="s">
        <v>128</v>
      </c>
      <c r="G2228" s="165">
        <v>6000</v>
      </c>
      <c r="H2228" s="165">
        <v>96000</v>
      </c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56"/>
    </row>
    <row r="2229" spans="1:22" x14ac:dyDescent="0.25">
      <c r="A2229" s="25">
        <v>2218</v>
      </c>
      <c r="B2229" s="23"/>
      <c r="C2229" s="14"/>
      <c r="D2229" s="23"/>
      <c r="E2229" s="84"/>
      <c r="F2229" s="23"/>
      <c r="G2229" s="165"/>
      <c r="H2229" s="165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56"/>
    </row>
    <row r="2230" spans="1:22" x14ac:dyDescent="0.25">
      <c r="A2230" s="25">
        <v>2219</v>
      </c>
      <c r="B2230" s="23"/>
      <c r="C2230" s="14"/>
      <c r="D2230" s="23"/>
      <c r="E2230" s="84"/>
      <c r="F2230" s="23"/>
      <c r="G2230" s="165"/>
      <c r="H2230" s="165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56"/>
    </row>
    <row r="2231" spans="1:22" ht="30" x14ac:dyDescent="0.25">
      <c r="A2231" s="25">
        <v>2220</v>
      </c>
      <c r="B2231" s="89" t="s">
        <v>141</v>
      </c>
      <c r="C2231" s="90" t="s">
        <v>98</v>
      </c>
      <c r="D2231" s="89" t="s">
        <v>27</v>
      </c>
      <c r="E2231" s="89"/>
      <c r="F2231" s="89"/>
      <c r="G2231" s="163"/>
      <c r="H2231" s="167">
        <v>203140</v>
      </c>
      <c r="I2231" s="89" t="s">
        <v>52</v>
      </c>
      <c r="J2231" s="60">
        <v>1</v>
      </c>
      <c r="K2231" s="60">
        <v>1</v>
      </c>
      <c r="L2231" s="60">
        <v>1</v>
      </c>
      <c r="M2231" s="60">
        <v>1</v>
      </c>
      <c r="N2231" s="60">
        <v>1</v>
      </c>
      <c r="O2231" s="60">
        <v>1</v>
      </c>
      <c r="P2231" s="60">
        <v>1</v>
      </c>
      <c r="Q2231" s="60">
        <v>1</v>
      </c>
      <c r="R2231" s="60">
        <v>1</v>
      </c>
      <c r="S2231" s="60">
        <v>1</v>
      </c>
      <c r="T2231" s="60">
        <v>1</v>
      </c>
      <c r="U2231" s="60">
        <v>1</v>
      </c>
      <c r="V2231" s="56"/>
    </row>
    <row r="2232" spans="1:22" x14ac:dyDescent="0.25">
      <c r="A2232" s="25">
        <v>2221</v>
      </c>
      <c r="B2232" s="23"/>
      <c r="C2232" s="14" t="s">
        <v>916</v>
      </c>
      <c r="D2232" s="23"/>
      <c r="E2232" s="84"/>
      <c r="F2232" s="23"/>
      <c r="G2232" s="165"/>
      <c r="H2232" s="165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56"/>
    </row>
    <row r="2233" spans="1:22" x14ac:dyDescent="0.25">
      <c r="A2233" s="25">
        <v>2222</v>
      </c>
      <c r="B2233" s="23"/>
      <c r="C2233" s="1" t="s">
        <v>911</v>
      </c>
      <c r="D2233" s="23"/>
      <c r="E2233" s="8">
        <f>20*14</f>
        <v>280</v>
      </c>
      <c r="F2233" s="23" t="s">
        <v>309</v>
      </c>
      <c r="G2233" s="49">
        <v>70</v>
      </c>
      <c r="H2233" s="49">
        <f>G2233*E2233</f>
        <v>19600</v>
      </c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56"/>
    </row>
    <row r="2234" spans="1:22" x14ac:dyDescent="0.25">
      <c r="A2234" s="25">
        <v>2223</v>
      </c>
      <c r="B2234" s="23"/>
      <c r="C2234" s="1" t="s">
        <v>498</v>
      </c>
      <c r="D2234" s="23"/>
      <c r="E2234" s="8">
        <f>20*14</f>
        <v>280</v>
      </c>
      <c r="F2234" s="23" t="s">
        <v>309</v>
      </c>
      <c r="G2234" s="49">
        <v>70</v>
      </c>
      <c r="H2234" s="49">
        <f t="shared" ref="H2234:H2238" si="150">G2234*E2234</f>
        <v>19600</v>
      </c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56"/>
    </row>
    <row r="2235" spans="1:22" x14ac:dyDescent="0.25">
      <c r="A2235" s="25">
        <v>2224</v>
      </c>
      <c r="B2235" s="23"/>
      <c r="C2235" s="1" t="s">
        <v>912</v>
      </c>
      <c r="D2235" s="23"/>
      <c r="E2235" s="8">
        <f>50*14</f>
        <v>700</v>
      </c>
      <c r="F2235" s="8" t="s">
        <v>915</v>
      </c>
      <c r="G2235" s="49">
        <v>45</v>
      </c>
      <c r="H2235" s="49">
        <f t="shared" si="150"/>
        <v>31500</v>
      </c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56"/>
    </row>
    <row r="2236" spans="1:22" x14ac:dyDescent="0.25">
      <c r="A2236" s="25">
        <v>2225</v>
      </c>
      <c r="B2236" s="23"/>
      <c r="C2236" s="11" t="s">
        <v>913</v>
      </c>
      <c r="D2236" s="23"/>
      <c r="E2236" s="2">
        <f>50*14</f>
        <v>700</v>
      </c>
      <c r="F2236" s="8" t="s">
        <v>152</v>
      </c>
      <c r="G2236" s="127">
        <v>15</v>
      </c>
      <c r="H2236" s="49">
        <f t="shared" si="150"/>
        <v>10500</v>
      </c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56"/>
    </row>
    <row r="2237" spans="1:22" x14ac:dyDescent="0.25">
      <c r="A2237" s="25">
        <v>2226</v>
      </c>
      <c r="B2237" s="23"/>
      <c r="C2237" s="11" t="s">
        <v>496</v>
      </c>
      <c r="D2237" s="23"/>
      <c r="E2237" s="2">
        <f>50*14</f>
        <v>700</v>
      </c>
      <c r="F2237" s="8" t="s">
        <v>152</v>
      </c>
      <c r="G2237" s="127">
        <v>25</v>
      </c>
      <c r="H2237" s="49">
        <f t="shared" si="150"/>
        <v>17500</v>
      </c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56"/>
    </row>
    <row r="2238" spans="1:22" x14ac:dyDescent="0.25">
      <c r="A2238" s="25">
        <v>2227</v>
      </c>
      <c r="B2238" s="23"/>
      <c r="C2238" s="11" t="s">
        <v>914</v>
      </c>
      <c r="D2238" s="23"/>
      <c r="E2238" s="2">
        <f>20*14</f>
        <v>280</v>
      </c>
      <c r="F2238" s="23" t="s">
        <v>309</v>
      </c>
      <c r="G2238" s="127">
        <v>373</v>
      </c>
      <c r="H2238" s="49">
        <f t="shared" si="150"/>
        <v>104440</v>
      </c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56"/>
    </row>
    <row r="2239" spans="1:22" x14ac:dyDescent="0.25">
      <c r="A2239" s="25">
        <v>2228</v>
      </c>
      <c r="B2239" s="23"/>
      <c r="C2239" s="14"/>
      <c r="D2239" s="23"/>
      <c r="E2239" s="84"/>
      <c r="F2239" s="23"/>
      <c r="G2239" s="165"/>
      <c r="H2239" s="165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56"/>
    </row>
    <row r="2240" spans="1:22" ht="30" x14ac:dyDescent="0.25">
      <c r="A2240" s="25">
        <v>2229</v>
      </c>
      <c r="B2240" s="89" t="s">
        <v>141</v>
      </c>
      <c r="C2240" s="90" t="s">
        <v>100</v>
      </c>
      <c r="D2240" s="89" t="s">
        <v>27</v>
      </c>
      <c r="E2240" s="89"/>
      <c r="F2240" s="89"/>
      <c r="G2240" s="163"/>
      <c r="H2240" s="167">
        <v>51900</v>
      </c>
      <c r="I2240" s="89" t="s">
        <v>52</v>
      </c>
      <c r="J2240" s="60">
        <v>2</v>
      </c>
      <c r="K2240" s="60">
        <v>2</v>
      </c>
      <c r="L2240" s="60">
        <v>2</v>
      </c>
      <c r="M2240" s="60">
        <v>2</v>
      </c>
      <c r="N2240" s="60">
        <v>2</v>
      </c>
      <c r="O2240" s="60">
        <v>2</v>
      </c>
      <c r="P2240" s="60">
        <v>2</v>
      </c>
      <c r="Q2240" s="60">
        <v>2</v>
      </c>
      <c r="R2240" s="60">
        <v>2</v>
      </c>
      <c r="S2240" s="60">
        <v>2</v>
      </c>
      <c r="T2240" s="60">
        <v>2</v>
      </c>
      <c r="U2240" s="60">
        <v>2</v>
      </c>
      <c r="V2240" s="56"/>
    </row>
    <row r="2241" spans="1:22" ht="28.5" x14ac:dyDescent="0.25">
      <c r="A2241" s="25">
        <v>2230</v>
      </c>
      <c r="B2241" s="23"/>
      <c r="C2241" s="41" t="s">
        <v>1441</v>
      </c>
      <c r="D2241" s="23"/>
      <c r="E2241" s="29">
        <f>9*32</f>
        <v>288</v>
      </c>
      <c r="F2241" s="29" t="s">
        <v>37</v>
      </c>
      <c r="G2241" s="44">
        <v>150</v>
      </c>
      <c r="H2241" s="165">
        <f>G2241*E2241</f>
        <v>43200</v>
      </c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56"/>
    </row>
    <row r="2242" spans="1:22" x14ac:dyDescent="0.25">
      <c r="A2242" s="25">
        <v>2231</v>
      </c>
      <c r="B2242" s="23"/>
      <c r="C2242" s="41" t="s">
        <v>955</v>
      </c>
      <c r="D2242" s="23"/>
      <c r="E2242" s="29">
        <v>20</v>
      </c>
      <c r="F2242" s="23" t="s">
        <v>309</v>
      </c>
      <c r="G2242" s="44">
        <v>285</v>
      </c>
      <c r="H2242" s="165">
        <f>G2242*E2242</f>
        <v>5700</v>
      </c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56"/>
    </row>
    <row r="2243" spans="1:22" x14ac:dyDescent="0.25">
      <c r="A2243" s="25">
        <v>2232</v>
      </c>
      <c r="B2243" s="23"/>
      <c r="C2243" s="41" t="s">
        <v>585</v>
      </c>
      <c r="D2243" s="23"/>
      <c r="E2243" s="29">
        <v>20</v>
      </c>
      <c r="F2243" s="23" t="s">
        <v>309</v>
      </c>
      <c r="G2243" s="42">
        <v>150</v>
      </c>
      <c r="H2243" s="165">
        <f>G2243*E2243</f>
        <v>3000</v>
      </c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56"/>
    </row>
    <row r="2244" spans="1:22" x14ac:dyDescent="0.25">
      <c r="A2244" s="25">
        <v>2233</v>
      </c>
      <c r="B2244" s="23"/>
      <c r="C2244" s="14"/>
      <c r="D2244" s="23"/>
      <c r="E2244" s="84"/>
      <c r="F2244" s="23"/>
      <c r="G2244" s="165"/>
      <c r="H2244" s="165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56"/>
    </row>
    <row r="2245" spans="1:22" ht="30" x14ac:dyDescent="0.25">
      <c r="A2245" s="25">
        <v>2234</v>
      </c>
      <c r="B2245" s="89" t="s">
        <v>141</v>
      </c>
      <c r="C2245" s="90" t="s">
        <v>103</v>
      </c>
      <c r="D2245" s="89" t="s">
        <v>27</v>
      </c>
      <c r="E2245" s="89"/>
      <c r="F2245" s="89"/>
      <c r="G2245" s="163"/>
      <c r="H2245" s="167">
        <v>48930</v>
      </c>
      <c r="I2245" s="89" t="s">
        <v>52</v>
      </c>
      <c r="J2245" s="60">
        <v>1</v>
      </c>
      <c r="K2245" s="60">
        <v>1</v>
      </c>
      <c r="L2245" s="60">
        <v>1</v>
      </c>
      <c r="M2245" s="60">
        <v>1</v>
      </c>
      <c r="N2245" s="60">
        <v>1</v>
      </c>
      <c r="O2245" s="60">
        <v>1</v>
      </c>
      <c r="P2245" s="60">
        <v>1</v>
      </c>
      <c r="Q2245" s="60">
        <v>1</v>
      </c>
      <c r="R2245" s="60">
        <v>1</v>
      </c>
      <c r="S2245" s="60">
        <v>1</v>
      </c>
      <c r="T2245" s="60">
        <v>1</v>
      </c>
      <c r="U2245" s="60">
        <v>1</v>
      </c>
      <c r="V2245" s="56"/>
    </row>
    <row r="2246" spans="1:22" x14ac:dyDescent="0.25">
      <c r="A2246" s="25">
        <v>2235</v>
      </c>
      <c r="B2246" s="23"/>
      <c r="C2246" s="11" t="s">
        <v>389</v>
      </c>
      <c r="D2246" s="23"/>
      <c r="E2246" s="8">
        <f>50*4</f>
        <v>200</v>
      </c>
      <c r="F2246" s="8" t="s">
        <v>152</v>
      </c>
      <c r="G2246" s="127">
        <v>15</v>
      </c>
      <c r="H2246" s="165">
        <f>G2246*E2246</f>
        <v>3000</v>
      </c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56"/>
    </row>
    <row r="2247" spans="1:22" x14ac:dyDescent="0.25">
      <c r="A2247" s="25">
        <v>2236</v>
      </c>
      <c r="B2247" s="23"/>
      <c r="C2247" s="11" t="s">
        <v>913</v>
      </c>
      <c r="D2247" s="23"/>
      <c r="E2247" s="8">
        <f t="shared" ref="E2247:E2249" si="151">50*4</f>
        <v>200</v>
      </c>
      <c r="F2247" s="8" t="s">
        <v>152</v>
      </c>
      <c r="G2247" s="127">
        <v>15</v>
      </c>
      <c r="H2247" s="165">
        <f t="shared" ref="H2247:H2249" si="152">G2247*E2247</f>
        <v>3000</v>
      </c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56"/>
    </row>
    <row r="2248" spans="1:22" x14ac:dyDescent="0.25">
      <c r="A2248" s="25">
        <v>2237</v>
      </c>
      <c r="B2248" s="23"/>
      <c r="C2248" s="11" t="s">
        <v>1087</v>
      </c>
      <c r="D2248" s="23"/>
      <c r="E2248" s="8">
        <f t="shared" si="151"/>
        <v>200</v>
      </c>
      <c r="F2248" s="8" t="s">
        <v>152</v>
      </c>
      <c r="G2248" s="127">
        <v>30</v>
      </c>
      <c r="H2248" s="165">
        <f t="shared" si="152"/>
        <v>6000</v>
      </c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56"/>
    </row>
    <row r="2249" spans="1:22" x14ac:dyDescent="0.25">
      <c r="A2249" s="25">
        <v>2238</v>
      </c>
      <c r="B2249" s="23"/>
      <c r="C2249" s="11" t="s">
        <v>1088</v>
      </c>
      <c r="D2249" s="23"/>
      <c r="E2249" s="8">
        <f t="shared" si="151"/>
        <v>200</v>
      </c>
      <c r="F2249" s="8" t="s">
        <v>152</v>
      </c>
      <c r="G2249" s="127">
        <v>30</v>
      </c>
      <c r="H2249" s="165">
        <f t="shared" si="152"/>
        <v>6000</v>
      </c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56"/>
    </row>
    <row r="2250" spans="1:22" x14ac:dyDescent="0.25">
      <c r="A2250" s="25">
        <v>2239</v>
      </c>
      <c r="B2250" s="23"/>
      <c r="C2250" s="11" t="s">
        <v>392</v>
      </c>
      <c r="D2250" s="23"/>
      <c r="E2250" s="8">
        <v>50</v>
      </c>
      <c r="F2250" s="8" t="s">
        <v>152</v>
      </c>
      <c r="G2250" s="127">
        <v>12</v>
      </c>
      <c r="H2250" s="165">
        <f>G2250*E2250</f>
        <v>600</v>
      </c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56"/>
    </row>
    <row r="2251" spans="1:22" x14ac:dyDescent="0.25">
      <c r="A2251" s="25">
        <v>2240</v>
      </c>
      <c r="B2251" s="23"/>
      <c r="C2251" s="11" t="s">
        <v>393</v>
      </c>
      <c r="D2251" s="23"/>
      <c r="E2251" s="8">
        <v>50</v>
      </c>
      <c r="F2251" s="23" t="s">
        <v>567</v>
      </c>
      <c r="G2251" s="127">
        <v>100</v>
      </c>
      <c r="H2251" s="165">
        <f t="shared" ref="H2251:H2263" si="153">G2251*E2251</f>
        <v>5000</v>
      </c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56"/>
    </row>
    <row r="2252" spans="1:22" x14ac:dyDescent="0.25">
      <c r="A2252" s="25">
        <v>2241</v>
      </c>
      <c r="B2252" s="23"/>
      <c r="C2252" s="11" t="s">
        <v>394</v>
      </c>
      <c r="D2252" s="23"/>
      <c r="E2252" s="8">
        <v>50</v>
      </c>
      <c r="F2252" s="8" t="s">
        <v>152</v>
      </c>
      <c r="G2252" s="127">
        <v>85</v>
      </c>
      <c r="H2252" s="165">
        <f t="shared" si="153"/>
        <v>4250</v>
      </c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56"/>
    </row>
    <row r="2253" spans="1:22" x14ac:dyDescent="0.25">
      <c r="A2253" s="25">
        <v>2242</v>
      </c>
      <c r="B2253" s="23"/>
      <c r="C2253" s="11" t="s">
        <v>499</v>
      </c>
      <c r="D2253" s="23"/>
      <c r="E2253" s="8">
        <v>50</v>
      </c>
      <c r="F2253" s="23" t="s">
        <v>309</v>
      </c>
      <c r="G2253" s="127">
        <v>85</v>
      </c>
      <c r="H2253" s="165">
        <f t="shared" si="153"/>
        <v>4250</v>
      </c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56"/>
    </row>
    <row r="2254" spans="1:22" x14ac:dyDescent="0.25">
      <c r="A2254" s="25">
        <v>2243</v>
      </c>
      <c r="B2254" s="23"/>
      <c r="C2254" s="11" t="s">
        <v>401</v>
      </c>
      <c r="D2254" s="23"/>
      <c r="E2254" s="8">
        <v>50</v>
      </c>
      <c r="F2254" s="23" t="s">
        <v>309</v>
      </c>
      <c r="G2254" s="127">
        <v>85</v>
      </c>
      <c r="H2254" s="165">
        <f t="shared" si="153"/>
        <v>4250</v>
      </c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56"/>
    </row>
    <row r="2255" spans="1:22" x14ac:dyDescent="0.25">
      <c r="A2255" s="25">
        <v>2244</v>
      </c>
      <c r="B2255" s="23"/>
      <c r="C2255" s="11" t="s">
        <v>395</v>
      </c>
      <c r="D2255" s="23"/>
      <c r="E2255" s="8">
        <v>10</v>
      </c>
      <c r="F2255" s="23" t="s">
        <v>309</v>
      </c>
      <c r="G2255" s="127">
        <v>82</v>
      </c>
      <c r="H2255" s="165">
        <f t="shared" si="153"/>
        <v>820</v>
      </c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56"/>
    </row>
    <row r="2256" spans="1:22" x14ac:dyDescent="0.25">
      <c r="A2256" s="25">
        <v>2245</v>
      </c>
      <c r="B2256" s="23"/>
      <c r="C2256" s="11" t="s">
        <v>396</v>
      </c>
      <c r="D2256" s="23"/>
      <c r="E2256" s="8">
        <v>10</v>
      </c>
      <c r="F2256" s="23" t="s">
        <v>309</v>
      </c>
      <c r="G2256" s="127">
        <v>90</v>
      </c>
      <c r="H2256" s="165">
        <f t="shared" si="153"/>
        <v>900</v>
      </c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56"/>
    </row>
    <row r="2257" spans="1:22" x14ac:dyDescent="0.25">
      <c r="A2257" s="25">
        <v>2246</v>
      </c>
      <c r="B2257" s="23"/>
      <c r="C2257" s="11" t="s">
        <v>397</v>
      </c>
      <c r="D2257" s="23"/>
      <c r="E2257" s="8">
        <v>20</v>
      </c>
      <c r="F2257" s="23" t="s">
        <v>309</v>
      </c>
      <c r="G2257" s="127">
        <v>85</v>
      </c>
      <c r="H2257" s="165">
        <f t="shared" si="153"/>
        <v>1700</v>
      </c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56"/>
    </row>
    <row r="2258" spans="1:22" x14ac:dyDescent="0.25">
      <c r="A2258" s="25">
        <v>2247</v>
      </c>
      <c r="B2258" s="23"/>
      <c r="C2258" s="11" t="s">
        <v>398</v>
      </c>
      <c r="D2258" s="23"/>
      <c r="E2258" s="8">
        <v>20</v>
      </c>
      <c r="F2258" s="23" t="s">
        <v>309</v>
      </c>
      <c r="G2258" s="127">
        <v>90</v>
      </c>
      <c r="H2258" s="165">
        <f t="shared" si="153"/>
        <v>1800</v>
      </c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56"/>
    </row>
    <row r="2259" spans="1:22" x14ac:dyDescent="0.25">
      <c r="A2259" s="25">
        <v>2248</v>
      </c>
      <c r="B2259" s="23"/>
      <c r="C2259" s="11" t="s">
        <v>399</v>
      </c>
      <c r="D2259" s="23"/>
      <c r="E2259" s="8">
        <v>20</v>
      </c>
      <c r="F2259" s="23" t="s">
        <v>309</v>
      </c>
      <c r="G2259" s="127">
        <v>122</v>
      </c>
      <c r="H2259" s="165">
        <f t="shared" si="153"/>
        <v>2440</v>
      </c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56"/>
    </row>
    <row r="2260" spans="1:22" x14ac:dyDescent="0.25">
      <c r="A2260" s="25">
        <v>2249</v>
      </c>
      <c r="B2260" s="23"/>
      <c r="C2260" s="11" t="s">
        <v>400</v>
      </c>
      <c r="D2260" s="23"/>
      <c r="E2260" s="8">
        <v>20</v>
      </c>
      <c r="F2260" s="23" t="s">
        <v>309</v>
      </c>
      <c r="G2260" s="127">
        <v>90</v>
      </c>
      <c r="H2260" s="165">
        <f t="shared" si="153"/>
        <v>1800</v>
      </c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56"/>
    </row>
    <row r="2261" spans="1:22" x14ac:dyDescent="0.25">
      <c r="A2261" s="25">
        <v>2250</v>
      </c>
      <c r="B2261" s="23"/>
      <c r="C2261" s="11" t="s">
        <v>1089</v>
      </c>
      <c r="D2261" s="23"/>
      <c r="E2261" s="8">
        <v>20</v>
      </c>
      <c r="F2261" s="23" t="s">
        <v>309</v>
      </c>
      <c r="G2261" s="127">
        <v>100</v>
      </c>
      <c r="H2261" s="165">
        <f t="shared" si="153"/>
        <v>2000</v>
      </c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56"/>
    </row>
    <row r="2262" spans="1:22" x14ac:dyDescent="0.25">
      <c r="A2262" s="25">
        <v>2251</v>
      </c>
      <c r="B2262" s="23"/>
      <c r="C2262" s="11" t="s">
        <v>500</v>
      </c>
      <c r="D2262" s="23"/>
      <c r="E2262" s="8">
        <v>4</v>
      </c>
      <c r="F2262" s="23" t="s">
        <v>309</v>
      </c>
      <c r="G2262" s="127">
        <v>100</v>
      </c>
      <c r="H2262" s="165">
        <f t="shared" si="153"/>
        <v>400</v>
      </c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56"/>
    </row>
    <row r="2263" spans="1:22" x14ac:dyDescent="0.25">
      <c r="A2263" s="25">
        <v>2252</v>
      </c>
      <c r="B2263" s="23"/>
      <c r="C2263" s="11" t="s">
        <v>1090</v>
      </c>
      <c r="D2263" s="23"/>
      <c r="E2263" s="8">
        <v>2</v>
      </c>
      <c r="F2263" s="23" t="s">
        <v>309</v>
      </c>
      <c r="G2263" s="127">
        <v>360</v>
      </c>
      <c r="H2263" s="165">
        <f t="shared" si="153"/>
        <v>720</v>
      </c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56"/>
    </row>
    <row r="2264" spans="1:22" x14ac:dyDescent="0.25">
      <c r="A2264" s="25">
        <v>2253</v>
      </c>
      <c r="B2264" s="23"/>
      <c r="C2264" s="14"/>
      <c r="D2264" s="23"/>
      <c r="E2264" s="84"/>
      <c r="F2264" s="23"/>
      <c r="G2264" s="165"/>
      <c r="H2264" s="165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56"/>
    </row>
    <row r="2265" spans="1:22" ht="30" x14ac:dyDescent="0.25">
      <c r="A2265" s="25">
        <v>2254</v>
      </c>
      <c r="B2265" s="89" t="s">
        <v>141</v>
      </c>
      <c r="C2265" s="90" t="s">
        <v>38</v>
      </c>
      <c r="D2265" s="89" t="s">
        <v>27</v>
      </c>
      <c r="E2265" s="89"/>
      <c r="F2265" s="89"/>
      <c r="G2265" s="163"/>
      <c r="H2265" s="167">
        <v>23360</v>
      </c>
      <c r="I2265" s="89" t="s">
        <v>52</v>
      </c>
      <c r="J2265" s="60"/>
      <c r="K2265" s="60"/>
      <c r="L2265" s="60"/>
      <c r="M2265" s="60">
        <v>1</v>
      </c>
      <c r="N2265" s="60"/>
      <c r="O2265" s="60"/>
      <c r="P2265" s="60"/>
      <c r="Q2265" s="60"/>
      <c r="R2265" s="60"/>
      <c r="S2265" s="60"/>
      <c r="T2265" s="60"/>
      <c r="U2265" s="60"/>
      <c r="V2265" s="56"/>
    </row>
    <row r="2266" spans="1:22" x14ac:dyDescent="0.25">
      <c r="A2266" s="25">
        <v>2255</v>
      </c>
      <c r="B2266" s="23"/>
      <c r="C2266" s="16" t="s">
        <v>852</v>
      </c>
      <c r="D2266" s="23"/>
      <c r="E2266" s="25">
        <v>10</v>
      </c>
      <c r="F2266" s="23" t="s">
        <v>309</v>
      </c>
      <c r="G2266" s="136">
        <v>195</v>
      </c>
      <c r="H2266" s="165">
        <f>G2266*E2266</f>
        <v>1950</v>
      </c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56"/>
    </row>
    <row r="2267" spans="1:22" x14ac:dyDescent="0.25">
      <c r="A2267" s="25">
        <v>2256</v>
      </c>
      <c r="B2267" s="23"/>
      <c r="C2267" s="16" t="s">
        <v>495</v>
      </c>
      <c r="D2267" s="23"/>
      <c r="E2267" s="25">
        <v>1</v>
      </c>
      <c r="F2267" s="25" t="s">
        <v>181</v>
      </c>
      <c r="G2267" s="136">
        <v>670</v>
      </c>
      <c r="H2267" s="165">
        <f t="shared" ref="H2267:H2283" si="154">G2267*E2267</f>
        <v>670</v>
      </c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56"/>
    </row>
    <row r="2268" spans="1:22" x14ac:dyDescent="0.25">
      <c r="A2268" s="25">
        <v>2257</v>
      </c>
      <c r="B2268" s="23"/>
      <c r="C2268" s="16" t="s">
        <v>496</v>
      </c>
      <c r="D2268" s="23"/>
      <c r="E2268" s="25">
        <v>3</v>
      </c>
      <c r="F2268" s="23" t="s">
        <v>309</v>
      </c>
      <c r="G2268" s="136">
        <v>250</v>
      </c>
      <c r="H2268" s="165">
        <f t="shared" si="154"/>
        <v>750</v>
      </c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56"/>
    </row>
    <row r="2269" spans="1:22" x14ac:dyDescent="0.25">
      <c r="A2269" s="25">
        <v>2258</v>
      </c>
      <c r="B2269" s="23"/>
      <c r="C2269" s="16" t="s">
        <v>497</v>
      </c>
      <c r="D2269" s="23"/>
      <c r="E2269" s="25">
        <v>15</v>
      </c>
      <c r="F2269" s="23" t="s">
        <v>567</v>
      </c>
      <c r="G2269" s="136">
        <v>476</v>
      </c>
      <c r="H2269" s="165">
        <f t="shared" si="154"/>
        <v>7140</v>
      </c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56"/>
    </row>
    <row r="2270" spans="1:22" x14ac:dyDescent="0.25">
      <c r="A2270" s="25">
        <v>2259</v>
      </c>
      <c r="B2270" s="23"/>
      <c r="C2270" s="16" t="s">
        <v>391</v>
      </c>
      <c r="D2270" s="23"/>
      <c r="E2270" s="25">
        <v>45</v>
      </c>
      <c r="F2270" s="25" t="s">
        <v>152</v>
      </c>
      <c r="G2270" s="136">
        <v>55</v>
      </c>
      <c r="H2270" s="165">
        <f t="shared" si="154"/>
        <v>2475</v>
      </c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56"/>
    </row>
    <row r="2271" spans="1:22" x14ac:dyDescent="0.25">
      <c r="A2271" s="25">
        <v>2260</v>
      </c>
      <c r="B2271" s="23"/>
      <c r="C2271" s="16" t="s">
        <v>392</v>
      </c>
      <c r="D2271" s="23"/>
      <c r="E2271" s="25">
        <v>10</v>
      </c>
      <c r="F2271" s="23" t="s">
        <v>309</v>
      </c>
      <c r="G2271" s="136">
        <v>118</v>
      </c>
      <c r="H2271" s="165">
        <f t="shared" si="154"/>
        <v>1180</v>
      </c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56"/>
    </row>
    <row r="2272" spans="1:22" x14ac:dyDescent="0.25">
      <c r="A2272" s="25">
        <v>2261</v>
      </c>
      <c r="B2272" s="23"/>
      <c r="C2272" s="16" t="s">
        <v>394</v>
      </c>
      <c r="D2272" s="23"/>
      <c r="E2272" s="25">
        <v>5</v>
      </c>
      <c r="F2272" s="23" t="s">
        <v>309</v>
      </c>
      <c r="G2272" s="136">
        <v>119</v>
      </c>
      <c r="H2272" s="165">
        <f t="shared" si="154"/>
        <v>595</v>
      </c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56"/>
    </row>
    <row r="2273" spans="1:22" x14ac:dyDescent="0.25">
      <c r="A2273" s="25">
        <v>2262</v>
      </c>
      <c r="B2273" s="23"/>
      <c r="C2273" s="16" t="s">
        <v>499</v>
      </c>
      <c r="D2273" s="23"/>
      <c r="E2273" s="25">
        <v>5</v>
      </c>
      <c r="F2273" s="23" t="s">
        <v>309</v>
      </c>
      <c r="G2273" s="136">
        <v>85</v>
      </c>
      <c r="H2273" s="165">
        <f t="shared" si="154"/>
        <v>425</v>
      </c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56"/>
    </row>
    <row r="2274" spans="1:22" x14ac:dyDescent="0.25">
      <c r="A2274" s="25">
        <v>2263</v>
      </c>
      <c r="B2274" s="23"/>
      <c r="C2274" s="16" t="s">
        <v>401</v>
      </c>
      <c r="D2274" s="23"/>
      <c r="E2274" s="25">
        <v>5</v>
      </c>
      <c r="F2274" s="23" t="s">
        <v>309</v>
      </c>
      <c r="G2274" s="136">
        <v>75</v>
      </c>
      <c r="H2274" s="165">
        <f t="shared" si="154"/>
        <v>375</v>
      </c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56"/>
    </row>
    <row r="2275" spans="1:22" x14ac:dyDescent="0.25">
      <c r="A2275" s="25">
        <v>2264</v>
      </c>
      <c r="B2275" s="23"/>
      <c r="C2275" s="16" t="s">
        <v>396</v>
      </c>
      <c r="D2275" s="23"/>
      <c r="E2275" s="25">
        <v>5</v>
      </c>
      <c r="F2275" s="23" t="s">
        <v>309</v>
      </c>
      <c r="G2275" s="136">
        <v>105</v>
      </c>
      <c r="H2275" s="165">
        <f t="shared" si="154"/>
        <v>525</v>
      </c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56"/>
    </row>
    <row r="2276" spans="1:22" x14ac:dyDescent="0.25">
      <c r="A2276" s="25">
        <v>2265</v>
      </c>
      <c r="B2276" s="23"/>
      <c r="C2276" s="16" t="s">
        <v>397</v>
      </c>
      <c r="D2276" s="23"/>
      <c r="E2276" s="25">
        <v>15</v>
      </c>
      <c r="F2276" s="23" t="s">
        <v>309</v>
      </c>
      <c r="G2276" s="136">
        <v>117</v>
      </c>
      <c r="H2276" s="165">
        <f t="shared" si="154"/>
        <v>1755</v>
      </c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56"/>
    </row>
    <row r="2277" spans="1:22" x14ac:dyDescent="0.25">
      <c r="A2277" s="25">
        <v>2266</v>
      </c>
      <c r="B2277" s="23"/>
      <c r="C2277" s="16" t="s">
        <v>398</v>
      </c>
      <c r="D2277" s="23"/>
      <c r="E2277" s="25">
        <v>15</v>
      </c>
      <c r="F2277" s="23" t="s">
        <v>309</v>
      </c>
      <c r="G2277" s="136">
        <v>105</v>
      </c>
      <c r="H2277" s="165">
        <f t="shared" si="154"/>
        <v>1575</v>
      </c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56"/>
    </row>
    <row r="2278" spans="1:22" x14ac:dyDescent="0.25">
      <c r="A2278" s="25">
        <v>2267</v>
      </c>
      <c r="B2278" s="23"/>
      <c r="C2278" s="16" t="s">
        <v>399</v>
      </c>
      <c r="D2278" s="23"/>
      <c r="E2278" s="25">
        <v>5</v>
      </c>
      <c r="F2278" s="23" t="s">
        <v>309</v>
      </c>
      <c r="G2278" s="136">
        <v>115</v>
      </c>
      <c r="H2278" s="165">
        <f t="shared" si="154"/>
        <v>575</v>
      </c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56"/>
    </row>
    <row r="2279" spans="1:22" x14ac:dyDescent="0.25">
      <c r="A2279" s="25">
        <v>2268</v>
      </c>
      <c r="B2279" s="23"/>
      <c r="C2279" s="16" t="s">
        <v>400</v>
      </c>
      <c r="D2279" s="23"/>
      <c r="E2279" s="25">
        <v>8</v>
      </c>
      <c r="F2279" s="23" t="s">
        <v>309</v>
      </c>
      <c r="G2279" s="136">
        <v>90</v>
      </c>
      <c r="H2279" s="165">
        <f t="shared" si="154"/>
        <v>720</v>
      </c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56"/>
    </row>
    <row r="2280" spans="1:22" x14ac:dyDescent="0.25">
      <c r="A2280" s="25">
        <v>2269</v>
      </c>
      <c r="B2280" s="23"/>
      <c r="C2280" s="16" t="s">
        <v>854</v>
      </c>
      <c r="D2280" s="23"/>
      <c r="E2280" s="25">
        <v>5</v>
      </c>
      <c r="F2280" s="23" t="s">
        <v>309</v>
      </c>
      <c r="G2280" s="136">
        <v>110</v>
      </c>
      <c r="H2280" s="165">
        <f t="shared" si="154"/>
        <v>550</v>
      </c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56"/>
    </row>
    <row r="2281" spans="1:22" x14ac:dyDescent="0.25">
      <c r="A2281" s="25">
        <v>2270</v>
      </c>
      <c r="B2281" s="23"/>
      <c r="C2281" s="16" t="s">
        <v>855</v>
      </c>
      <c r="D2281" s="23"/>
      <c r="E2281" s="25">
        <v>2</v>
      </c>
      <c r="F2281" s="23" t="s">
        <v>567</v>
      </c>
      <c r="G2281" s="136">
        <v>45</v>
      </c>
      <c r="H2281" s="165">
        <f>G2281*E2281</f>
        <v>90</v>
      </c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56"/>
    </row>
    <row r="2282" spans="1:22" x14ac:dyDescent="0.25">
      <c r="A2282" s="25">
        <v>2271</v>
      </c>
      <c r="B2282" s="23"/>
      <c r="C2282" s="16" t="s">
        <v>393</v>
      </c>
      <c r="D2282" s="23"/>
      <c r="E2282" s="25">
        <v>10</v>
      </c>
      <c r="F2282" s="23" t="s">
        <v>567</v>
      </c>
      <c r="G2282" s="136">
        <v>150</v>
      </c>
      <c r="H2282" s="165">
        <f t="shared" si="154"/>
        <v>1500</v>
      </c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56"/>
    </row>
    <row r="2283" spans="1:22" x14ac:dyDescent="0.25">
      <c r="A2283" s="25">
        <v>2272</v>
      </c>
      <c r="B2283" s="23"/>
      <c r="C2283" s="16" t="s">
        <v>498</v>
      </c>
      <c r="D2283" s="23"/>
      <c r="E2283" s="25">
        <v>6</v>
      </c>
      <c r="F2283" s="23" t="s">
        <v>309</v>
      </c>
      <c r="G2283" s="136">
        <v>85</v>
      </c>
      <c r="H2283" s="165">
        <f t="shared" si="154"/>
        <v>510</v>
      </c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56"/>
    </row>
    <row r="2284" spans="1:22" x14ac:dyDescent="0.25">
      <c r="A2284" s="25">
        <v>2273</v>
      </c>
      <c r="B2284" s="23"/>
      <c r="C2284" s="14"/>
      <c r="D2284" s="23"/>
      <c r="E2284" s="84"/>
      <c r="F2284" s="23"/>
      <c r="G2284" s="165"/>
      <c r="H2284" s="165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56"/>
    </row>
    <row r="2285" spans="1:22" ht="30" x14ac:dyDescent="0.25">
      <c r="A2285" s="25">
        <v>2274</v>
      </c>
      <c r="B2285" s="89" t="s">
        <v>141</v>
      </c>
      <c r="C2285" s="90" t="s">
        <v>96</v>
      </c>
      <c r="D2285" s="89" t="s">
        <v>27</v>
      </c>
      <c r="E2285" s="89"/>
      <c r="F2285" s="89"/>
      <c r="G2285" s="163"/>
      <c r="H2285" s="167">
        <v>62080</v>
      </c>
      <c r="I2285" s="89" t="s">
        <v>52</v>
      </c>
      <c r="J2285" s="60"/>
      <c r="K2285" s="60"/>
      <c r="L2285" s="60"/>
      <c r="M2285" s="60"/>
      <c r="N2285" s="60"/>
      <c r="O2285" s="60"/>
      <c r="P2285" s="60"/>
      <c r="Q2285" s="60">
        <v>1</v>
      </c>
      <c r="R2285" s="60"/>
      <c r="S2285" s="60"/>
      <c r="T2285" s="60"/>
      <c r="U2285" s="60"/>
      <c r="V2285" s="56"/>
    </row>
    <row r="2286" spans="1:22" x14ac:dyDescent="0.25">
      <c r="A2286" s="25">
        <v>2275</v>
      </c>
      <c r="B2286" s="23"/>
      <c r="C2286" s="9" t="s">
        <v>871</v>
      </c>
      <c r="D2286" s="8"/>
      <c r="E2286" s="36">
        <v>20</v>
      </c>
      <c r="F2286" s="36" t="s">
        <v>152</v>
      </c>
      <c r="G2286" s="108">
        <v>2500</v>
      </c>
      <c r="H2286" s="165">
        <f>G2286*E2286</f>
        <v>50000</v>
      </c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56"/>
    </row>
    <row r="2287" spans="1:22" x14ac:dyDescent="0.25">
      <c r="A2287" s="25">
        <v>2276</v>
      </c>
      <c r="B2287" s="23"/>
      <c r="C2287" s="4" t="s">
        <v>432</v>
      </c>
      <c r="D2287" s="8"/>
      <c r="E2287" s="36">
        <v>15</v>
      </c>
      <c r="F2287" s="36" t="s">
        <v>152</v>
      </c>
      <c r="G2287" s="108">
        <v>165</v>
      </c>
      <c r="H2287" s="165">
        <f t="shared" ref="H2287:H2292" si="155">G2287*E2287</f>
        <v>2475</v>
      </c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56"/>
    </row>
    <row r="2288" spans="1:22" x14ac:dyDescent="0.25">
      <c r="A2288" s="25">
        <v>2277</v>
      </c>
      <c r="B2288" s="23"/>
      <c r="C2288" s="4" t="s">
        <v>872</v>
      </c>
      <c r="D2288" s="8"/>
      <c r="E2288" s="36">
        <v>15</v>
      </c>
      <c r="F2288" s="36" t="s">
        <v>567</v>
      </c>
      <c r="G2288" s="108">
        <v>210</v>
      </c>
      <c r="H2288" s="165">
        <f t="shared" si="155"/>
        <v>3150</v>
      </c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56"/>
    </row>
    <row r="2289" spans="1:22" x14ac:dyDescent="0.25">
      <c r="A2289" s="25">
        <v>2278</v>
      </c>
      <c r="B2289" s="23"/>
      <c r="C2289" s="4" t="s">
        <v>429</v>
      </c>
      <c r="D2289" s="8"/>
      <c r="E2289" s="36">
        <v>15</v>
      </c>
      <c r="F2289" s="23" t="s">
        <v>309</v>
      </c>
      <c r="G2289" s="108">
        <v>245</v>
      </c>
      <c r="H2289" s="165">
        <f t="shared" si="155"/>
        <v>3675</v>
      </c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56"/>
    </row>
    <row r="2290" spans="1:22" x14ac:dyDescent="0.25">
      <c r="A2290" s="25">
        <v>2279</v>
      </c>
      <c r="B2290" s="23"/>
      <c r="C2290" s="4" t="s">
        <v>353</v>
      </c>
      <c r="D2290" s="8"/>
      <c r="E2290" s="36">
        <v>5</v>
      </c>
      <c r="F2290" s="8" t="s">
        <v>291</v>
      </c>
      <c r="G2290" s="108">
        <v>115</v>
      </c>
      <c r="H2290" s="165">
        <f t="shared" si="155"/>
        <v>575</v>
      </c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56"/>
    </row>
    <row r="2291" spans="1:22" x14ac:dyDescent="0.25">
      <c r="A2291" s="25">
        <v>2280</v>
      </c>
      <c r="B2291" s="23"/>
      <c r="C2291" s="4" t="s">
        <v>873</v>
      </c>
      <c r="D2291" s="8"/>
      <c r="E2291" s="36">
        <v>3</v>
      </c>
      <c r="F2291" s="8" t="s">
        <v>291</v>
      </c>
      <c r="G2291" s="108">
        <v>115</v>
      </c>
      <c r="H2291" s="165">
        <f t="shared" si="155"/>
        <v>345</v>
      </c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56"/>
    </row>
    <row r="2292" spans="1:22" x14ac:dyDescent="0.25">
      <c r="A2292" s="25">
        <v>2281</v>
      </c>
      <c r="B2292" s="23"/>
      <c r="C2292" s="4" t="s">
        <v>874</v>
      </c>
      <c r="D2292" s="8"/>
      <c r="E2292" s="36">
        <v>12</v>
      </c>
      <c r="F2292" s="23" t="s">
        <v>309</v>
      </c>
      <c r="G2292" s="108">
        <v>155</v>
      </c>
      <c r="H2292" s="165">
        <f t="shared" si="155"/>
        <v>1860</v>
      </c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56"/>
    </row>
    <row r="2293" spans="1:22" x14ac:dyDescent="0.25">
      <c r="A2293" s="25">
        <v>2282</v>
      </c>
      <c r="B2293" s="23"/>
      <c r="C2293" s="14"/>
      <c r="D2293" s="23"/>
      <c r="E2293" s="84"/>
      <c r="F2293" s="23"/>
      <c r="G2293" s="165"/>
      <c r="H2293" s="165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56"/>
    </row>
    <row r="2294" spans="1:22" ht="30" x14ac:dyDescent="0.25">
      <c r="A2294" s="25">
        <v>2283</v>
      </c>
      <c r="B2294" s="89" t="s">
        <v>141</v>
      </c>
      <c r="C2294" s="90" t="s">
        <v>188</v>
      </c>
      <c r="D2294" s="89" t="s">
        <v>27</v>
      </c>
      <c r="E2294" s="89"/>
      <c r="F2294" s="89"/>
      <c r="G2294" s="163"/>
      <c r="H2294" s="167">
        <v>1701000</v>
      </c>
      <c r="I2294" s="89" t="s">
        <v>52</v>
      </c>
      <c r="J2294" s="60">
        <v>1</v>
      </c>
      <c r="K2294" s="60">
        <v>1</v>
      </c>
      <c r="L2294" s="60">
        <v>1</v>
      </c>
      <c r="M2294" s="60">
        <v>1</v>
      </c>
      <c r="N2294" s="60">
        <v>1</v>
      </c>
      <c r="O2294" s="60">
        <v>1</v>
      </c>
      <c r="P2294" s="60">
        <v>1</v>
      </c>
      <c r="Q2294" s="60">
        <v>1</v>
      </c>
      <c r="R2294" s="60">
        <v>1</v>
      </c>
      <c r="S2294" s="60">
        <v>1</v>
      </c>
      <c r="T2294" s="60">
        <v>1</v>
      </c>
      <c r="U2294" s="60">
        <v>1</v>
      </c>
      <c r="V2294" s="56"/>
    </row>
    <row r="2295" spans="1:22" x14ac:dyDescent="0.25">
      <c r="A2295" s="25">
        <v>2284</v>
      </c>
      <c r="B2295" s="23"/>
      <c r="C2295" s="14" t="s">
        <v>170</v>
      </c>
      <c r="D2295" s="23"/>
      <c r="E2295" s="84">
        <v>108</v>
      </c>
      <c r="F2295" s="36" t="s">
        <v>152</v>
      </c>
      <c r="G2295" s="165">
        <v>7000</v>
      </c>
      <c r="H2295" s="165">
        <v>756000</v>
      </c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56"/>
    </row>
    <row r="2296" spans="1:22" x14ac:dyDescent="0.25">
      <c r="A2296" s="25">
        <v>2285</v>
      </c>
      <c r="B2296" s="23"/>
      <c r="C2296" s="14" t="s">
        <v>189</v>
      </c>
      <c r="D2296" s="23"/>
      <c r="E2296" s="84">
        <v>27</v>
      </c>
      <c r="F2296" s="23" t="s">
        <v>128</v>
      </c>
      <c r="G2296" s="165">
        <v>25000</v>
      </c>
      <c r="H2296" s="165">
        <v>675000</v>
      </c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56"/>
    </row>
    <row r="2297" spans="1:22" x14ac:dyDescent="0.25">
      <c r="A2297" s="25">
        <v>2286</v>
      </c>
      <c r="B2297" s="23"/>
      <c r="C2297" s="14" t="s">
        <v>190</v>
      </c>
      <c r="D2297" s="23"/>
      <c r="E2297" s="84">
        <v>108</v>
      </c>
      <c r="F2297" s="36" t="s">
        <v>152</v>
      </c>
      <c r="G2297" s="165">
        <v>1000</v>
      </c>
      <c r="H2297" s="165">
        <v>108000</v>
      </c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56"/>
    </row>
    <row r="2298" spans="1:22" x14ac:dyDescent="0.25">
      <c r="A2298" s="25">
        <v>2287</v>
      </c>
      <c r="B2298" s="23"/>
      <c r="C2298" s="14" t="s">
        <v>172</v>
      </c>
      <c r="D2298" s="23"/>
      <c r="E2298" s="84">
        <v>27</v>
      </c>
      <c r="F2298" s="23" t="s">
        <v>128</v>
      </c>
      <c r="G2298" s="165">
        <v>6000</v>
      </c>
      <c r="H2298" s="165">
        <v>162000</v>
      </c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56"/>
    </row>
    <row r="2299" spans="1:22" x14ac:dyDescent="0.25">
      <c r="A2299" s="25">
        <v>2288</v>
      </c>
      <c r="B2299" s="23"/>
      <c r="C2299" s="14"/>
      <c r="D2299" s="23"/>
      <c r="E2299" s="84"/>
      <c r="F2299" s="23"/>
      <c r="G2299" s="165"/>
      <c r="H2299" s="165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56"/>
    </row>
    <row r="2300" spans="1:22" ht="30" x14ac:dyDescent="0.25">
      <c r="A2300" s="25">
        <v>2289</v>
      </c>
      <c r="B2300" s="89" t="s">
        <v>141</v>
      </c>
      <c r="C2300" s="90" t="s">
        <v>191</v>
      </c>
      <c r="D2300" s="89" t="s">
        <v>27</v>
      </c>
      <c r="E2300" s="89"/>
      <c r="F2300" s="89"/>
      <c r="G2300" s="163"/>
      <c r="H2300" s="167">
        <v>204500</v>
      </c>
      <c r="I2300" s="89" t="s">
        <v>52</v>
      </c>
      <c r="J2300" s="60"/>
      <c r="K2300" s="60"/>
      <c r="L2300" s="60"/>
      <c r="M2300" s="60">
        <v>1</v>
      </c>
      <c r="N2300" s="60"/>
      <c r="O2300" s="60"/>
      <c r="P2300" s="60"/>
      <c r="Q2300" s="60"/>
      <c r="R2300" s="60"/>
      <c r="S2300" s="60"/>
      <c r="T2300" s="60"/>
      <c r="U2300" s="60"/>
      <c r="V2300" s="56"/>
    </row>
    <row r="2301" spans="1:22" x14ac:dyDescent="0.25">
      <c r="A2301" s="25">
        <v>2290</v>
      </c>
      <c r="B2301" s="23"/>
      <c r="C2301" s="111" t="s">
        <v>1251</v>
      </c>
      <c r="D2301" s="23"/>
      <c r="E2301" s="112">
        <v>45</v>
      </c>
      <c r="F2301" s="36" t="s">
        <v>152</v>
      </c>
      <c r="G2301" s="113">
        <v>300</v>
      </c>
      <c r="H2301" s="165">
        <f>G2301*E2301</f>
        <v>13500</v>
      </c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56"/>
    </row>
    <row r="2302" spans="1:22" x14ac:dyDescent="0.25">
      <c r="A2302" s="25">
        <v>2291</v>
      </c>
      <c r="B2302" s="23"/>
      <c r="C2302" s="111" t="s">
        <v>1252</v>
      </c>
      <c r="D2302" s="23"/>
      <c r="E2302" s="112">
        <v>2</v>
      </c>
      <c r="F2302" s="36" t="s">
        <v>152</v>
      </c>
      <c r="G2302" s="113">
        <v>4500</v>
      </c>
      <c r="H2302" s="165">
        <f>G2302*E2302</f>
        <v>9000</v>
      </c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56"/>
    </row>
    <row r="2303" spans="1:22" x14ac:dyDescent="0.25">
      <c r="A2303" s="25">
        <v>2292</v>
      </c>
      <c r="B2303" s="23"/>
      <c r="C2303" s="111" t="s">
        <v>1253</v>
      </c>
      <c r="D2303" s="23"/>
      <c r="E2303" s="112">
        <v>650</v>
      </c>
      <c r="F2303" s="36" t="s">
        <v>152</v>
      </c>
      <c r="G2303" s="113">
        <v>280</v>
      </c>
      <c r="H2303" s="165">
        <f>G2303*E2303</f>
        <v>182000</v>
      </c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56"/>
    </row>
    <row r="2304" spans="1:22" x14ac:dyDescent="0.25">
      <c r="A2304" s="25">
        <v>2293</v>
      </c>
      <c r="B2304" s="23"/>
      <c r="C2304" s="14"/>
      <c r="D2304" s="23"/>
      <c r="E2304" s="84"/>
      <c r="F2304" s="23"/>
      <c r="G2304" s="165"/>
      <c r="H2304" s="165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56"/>
    </row>
    <row r="2305" spans="1:22" ht="30" x14ac:dyDescent="0.25">
      <c r="A2305" s="25">
        <v>2294</v>
      </c>
      <c r="B2305" s="89" t="s">
        <v>141</v>
      </c>
      <c r="C2305" s="90" t="s">
        <v>46</v>
      </c>
      <c r="D2305" s="89" t="s">
        <v>27</v>
      </c>
      <c r="E2305" s="89"/>
      <c r="F2305" s="89"/>
      <c r="G2305" s="163"/>
      <c r="H2305" s="167">
        <v>126670</v>
      </c>
      <c r="I2305" s="89" t="s">
        <v>52</v>
      </c>
      <c r="J2305" s="60"/>
      <c r="K2305" s="60"/>
      <c r="L2305" s="60"/>
      <c r="M2305" s="60">
        <v>1</v>
      </c>
      <c r="N2305" s="60"/>
      <c r="O2305" s="60"/>
      <c r="P2305" s="60"/>
      <c r="Q2305" s="60"/>
      <c r="R2305" s="60"/>
      <c r="S2305" s="60">
        <v>1</v>
      </c>
      <c r="T2305" s="60"/>
      <c r="U2305" s="60"/>
      <c r="V2305" s="56"/>
    </row>
    <row r="2306" spans="1:22" x14ac:dyDescent="0.25">
      <c r="A2306" s="25">
        <v>2295</v>
      </c>
      <c r="B2306" s="23"/>
      <c r="C2306" s="16" t="s">
        <v>852</v>
      </c>
      <c r="D2306" s="23"/>
      <c r="E2306" s="25">
        <f>30*2</f>
        <v>60</v>
      </c>
      <c r="F2306" s="23" t="s">
        <v>309</v>
      </c>
      <c r="G2306" s="136">
        <v>195</v>
      </c>
      <c r="H2306" s="107">
        <f>G2306*E2306</f>
        <v>11700</v>
      </c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56"/>
    </row>
    <row r="2307" spans="1:22" x14ac:dyDescent="0.25">
      <c r="A2307" s="25">
        <v>2296</v>
      </c>
      <c r="B2307" s="23"/>
      <c r="C2307" s="16" t="s">
        <v>495</v>
      </c>
      <c r="D2307" s="23"/>
      <c r="E2307" s="25">
        <f>2*2</f>
        <v>4</v>
      </c>
      <c r="F2307" s="23" t="s">
        <v>309</v>
      </c>
      <c r="G2307" s="136">
        <v>670</v>
      </c>
      <c r="H2307" s="107">
        <f t="shared" ref="H2307:H2324" si="156">G2307*E2307</f>
        <v>2680</v>
      </c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56"/>
    </row>
    <row r="2308" spans="1:22" x14ac:dyDescent="0.25">
      <c r="A2308" s="25">
        <v>2297</v>
      </c>
      <c r="B2308" s="23"/>
      <c r="C2308" s="16" t="s">
        <v>496</v>
      </c>
      <c r="D2308" s="23"/>
      <c r="E2308" s="25">
        <f>5*2</f>
        <v>10</v>
      </c>
      <c r="F2308" s="23" t="s">
        <v>309</v>
      </c>
      <c r="G2308" s="136">
        <v>250</v>
      </c>
      <c r="H2308" s="107">
        <f t="shared" si="156"/>
        <v>2500</v>
      </c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56"/>
    </row>
    <row r="2309" spans="1:22" x14ac:dyDescent="0.25">
      <c r="A2309" s="25">
        <v>2298</v>
      </c>
      <c r="B2309" s="23"/>
      <c r="C2309" s="16" t="s">
        <v>497</v>
      </c>
      <c r="D2309" s="23"/>
      <c r="E2309" s="25">
        <f>40*2</f>
        <v>80</v>
      </c>
      <c r="F2309" s="23" t="s">
        <v>567</v>
      </c>
      <c r="G2309" s="136">
        <v>476</v>
      </c>
      <c r="H2309" s="107">
        <f t="shared" si="156"/>
        <v>38080</v>
      </c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56"/>
    </row>
    <row r="2310" spans="1:22" x14ac:dyDescent="0.25">
      <c r="A2310" s="25">
        <v>2299</v>
      </c>
      <c r="B2310" s="23"/>
      <c r="C2310" s="16" t="s">
        <v>391</v>
      </c>
      <c r="D2310" s="23"/>
      <c r="E2310" s="25">
        <f>90*2</f>
        <v>180</v>
      </c>
      <c r="F2310" s="25" t="s">
        <v>152</v>
      </c>
      <c r="G2310" s="136">
        <v>55</v>
      </c>
      <c r="H2310" s="107">
        <f t="shared" si="156"/>
        <v>9900</v>
      </c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56"/>
    </row>
    <row r="2311" spans="1:22" x14ac:dyDescent="0.25">
      <c r="A2311" s="25">
        <v>2300</v>
      </c>
      <c r="B2311" s="23"/>
      <c r="C2311" s="16" t="s">
        <v>853</v>
      </c>
      <c r="D2311" s="23"/>
      <c r="E2311" s="25">
        <f>25*2</f>
        <v>50</v>
      </c>
      <c r="F2311" s="25" t="s">
        <v>152</v>
      </c>
      <c r="G2311" s="136">
        <v>65</v>
      </c>
      <c r="H2311" s="107">
        <f t="shared" si="156"/>
        <v>3250</v>
      </c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56"/>
    </row>
    <row r="2312" spans="1:22" x14ac:dyDescent="0.25">
      <c r="A2312" s="25">
        <v>2301</v>
      </c>
      <c r="B2312" s="23"/>
      <c r="C2312" s="16" t="s">
        <v>392</v>
      </c>
      <c r="D2312" s="23"/>
      <c r="E2312" s="25">
        <f>35*2</f>
        <v>70</v>
      </c>
      <c r="F2312" s="23" t="s">
        <v>309</v>
      </c>
      <c r="G2312" s="136">
        <v>118</v>
      </c>
      <c r="H2312" s="107">
        <f t="shared" si="156"/>
        <v>8260</v>
      </c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56"/>
    </row>
    <row r="2313" spans="1:22" x14ac:dyDescent="0.25">
      <c r="A2313" s="25">
        <v>2302</v>
      </c>
      <c r="B2313" s="23"/>
      <c r="C2313" s="16" t="s">
        <v>394</v>
      </c>
      <c r="D2313" s="23"/>
      <c r="E2313" s="25">
        <f>30*2</f>
        <v>60</v>
      </c>
      <c r="F2313" s="23" t="s">
        <v>309</v>
      </c>
      <c r="G2313" s="136">
        <v>119</v>
      </c>
      <c r="H2313" s="107">
        <f t="shared" si="156"/>
        <v>7140</v>
      </c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56"/>
    </row>
    <row r="2314" spans="1:22" x14ac:dyDescent="0.25">
      <c r="A2314" s="25">
        <v>2303</v>
      </c>
      <c r="B2314" s="23"/>
      <c r="C2314" s="16" t="s">
        <v>499</v>
      </c>
      <c r="D2314" s="23"/>
      <c r="E2314" s="25">
        <f>15*2</f>
        <v>30</v>
      </c>
      <c r="F2314" s="23" t="s">
        <v>309</v>
      </c>
      <c r="G2314" s="136">
        <v>85</v>
      </c>
      <c r="H2314" s="107">
        <f t="shared" si="156"/>
        <v>2550</v>
      </c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56"/>
    </row>
    <row r="2315" spans="1:22" x14ac:dyDescent="0.25">
      <c r="A2315" s="25">
        <v>2304</v>
      </c>
      <c r="B2315" s="23"/>
      <c r="C2315" s="16" t="s">
        <v>401</v>
      </c>
      <c r="D2315" s="23"/>
      <c r="E2315" s="25">
        <f>20*2</f>
        <v>40</v>
      </c>
      <c r="F2315" s="23" t="s">
        <v>309</v>
      </c>
      <c r="G2315" s="136">
        <v>75</v>
      </c>
      <c r="H2315" s="107">
        <f t="shared" si="156"/>
        <v>3000</v>
      </c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56"/>
    </row>
    <row r="2316" spans="1:22" x14ac:dyDescent="0.25">
      <c r="A2316" s="25">
        <v>2305</v>
      </c>
      <c r="B2316" s="23"/>
      <c r="C2316" s="16" t="s">
        <v>396</v>
      </c>
      <c r="D2316" s="23"/>
      <c r="E2316" s="25">
        <f>18*2</f>
        <v>36</v>
      </c>
      <c r="F2316" s="23" t="s">
        <v>309</v>
      </c>
      <c r="G2316" s="136">
        <v>105</v>
      </c>
      <c r="H2316" s="107">
        <f t="shared" si="156"/>
        <v>3780</v>
      </c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56"/>
    </row>
    <row r="2317" spans="1:22" x14ac:dyDescent="0.25">
      <c r="A2317" s="25">
        <v>2306</v>
      </c>
      <c r="B2317" s="23"/>
      <c r="C2317" s="16" t="s">
        <v>397</v>
      </c>
      <c r="D2317" s="23"/>
      <c r="E2317" s="25">
        <f>20*2</f>
        <v>40</v>
      </c>
      <c r="F2317" s="23" t="s">
        <v>309</v>
      </c>
      <c r="G2317" s="136">
        <v>117</v>
      </c>
      <c r="H2317" s="107">
        <f t="shared" si="156"/>
        <v>4680</v>
      </c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56"/>
    </row>
    <row r="2318" spans="1:22" x14ac:dyDescent="0.25">
      <c r="A2318" s="25">
        <v>2307</v>
      </c>
      <c r="B2318" s="23"/>
      <c r="C2318" s="16" t="s">
        <v>398</v>
      </c>
      <c r="D2318" s="23"/>
      <c r="E2318" s="25">
        <f t="shared" ref="E2318:E2319" si="157">20*2</f>
        <v>40</v>
      </c>
      <c r="F2318" s="23" t="s">
        <v>309</v>
      </c>
      <c r="G2318" s="136">
        <v>105</v>
      </c>
      <c r="H2318" s="107">
        <f t="shared" si="156"/>
        <v>4200</v>
      </c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56"/>
    </row>
    <row r="2319" spans="1:22" x14ac:dyDescent="0.25">
      <c r="A2319" s="25">
        <v>2308</v>
      </c>
      <c r="B2319" s="23"/>
      <c r="C2319" s="16" t="s">
        <v>399</v>
      </c>
      <c r="D2319" s="23"/>
      <c r="E2319" s="25">
        <f t="shared" si="157"/>
        <v>40</v>
      </c>
      <c r="F2319" s="23" t="s">
        <v>309</v>
      </c>
      <c r="G2319" s="136">
        <v>115</v>
      </c>
      <c r="H2319" s="107">
        <f t="shared" si="156"/>
        <v>4600</v>
      </c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56"/>
    </row>
    <row r="2320" spans="1:22" x14ac:dyDescent="0.25">
      <c r="A2320" s="25">
        <v>2309</v>
      </c>
      <c r="B2320" s="23"/>
      <c r="C2320" s="16" t="s">
        <v>400</v>
      </c>
      <c r="D2320" s="23"/>
      <c r="E2320" s="25">
        <f>18*2</f>
        <v>36</v>
      </c>
      <c r="F2320" s="23" t="s">
        <v>309</v>
      </c>
      <c r="G2320" s="136">
        <v>90</v>
      </c>
      <c r="H2320" s="107">
        <f t="shared" si="156"/>
        <v>3240</v>
      </c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56"/>
    </row>
    <row r="2321" spans="1:22" x14ac:dyDescent="0.25">
      <c r="A2321" s="25">
        <v>2310</v>
      </c>
      <c r="B2321" s="23"/>
      <c r="C2321" s="16" t="s">
        <v>854</v>
      </c>
      <c r="D2321" s="23"/>
      <c r="E2321" s="25">
        <f>10*2</f>
        <v>20</v>
      </c>
      <c r="F2321" s="23" t="s">
        <v>309</v>
      </c>
      <c r="G2321" s="136">
        <v>110</v>
      </c>
      <c r="H2321" s="107">
        <f t="shared" si="156"/>
        <v>2200</v>
      </c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56"/>
    </row>
    <row r="2322" spans="1:22" x14ac:dyDescent="0.25">
      <c r="A2322" s="25">
        <v>2311</v>
      </c>
      <c r="B2322" s="23"/>
      <c r="C2322" s="16" t="s">
        <v>855</v>
      </c>
      <c r="D2322" s="23"/>
      <c r="E2322" s="25">
        <f>4*2</f>
        <v>8</v>
      </c>
      <c r="F2322" s="23" t="s">
        <v>567</v>
      </c>
      <c r="G2322" s="136">
        <v>45</v>
      </c>
      <c r="H2322" s="107">
        <f t="shared" si="156"/>
        <v>360</v>
      </c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56"/>
    </row>
    <row r="2323" spans="1:22" x14ac:dyDescent="0.25">
      <c r="A2323" s="25">
        <v>2312</v>
      </c>
      <c r="B2323" s="23"/>
      <c r="C2323" s="16" t="s">
        <v>393</v>
      </c>
      <c r="D2323" s="23"/>
      <c r="E2323" s="25">
        <f>40*2</f>
        <v>80</v>
      </c>
      <c r="F2323" s="23" t="s">
        <v>567</v>
      </c>
      <c r="G2323" s="136">
        <v>150</v>
      </c>
      <c r="H2323" s="107">
        <f t="shared" si="156"/>
        <v>12000</v>
      </c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56"/>
    </row>
    <row r="2324" spans="1:22" x14ac:dyDescent="0.25">
      <c r="A2324" s="25">
        <v>2313</v>
      </c>
      <c r="B2324" s="23"/>
      <c r="C2324" s="16" t="s">
        <v>498</v>
      </c>
      <c r="D2324" s="23"/>
      <c r="E2324" s="25">
        <f>15*2</f>
        <v>30</v>
      </c>
      <c r="F2324" s="25" t="s">
        <v>181</v>
      </c>
      <c r="G2324" s="136">
        <v>85</v>
      </c>
      <c r="H2324" s="107">
        <f t="shared" si="156"/>
        <v>2550</v>
      </c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56"/>
    </row>
    <row r="2325" spans="1:22" x14ac:dyDescent="0.25">
      <c r="A2325" s="25">
        <v>2314</v>
      </c>
      <c r="B2325" s="23"/>
      <c r="C2325" s="14"/>
      <c r="D2325" s="23"/>
      <c r="E2325" s="84"/>
      <c r="F2325" s="23"/>
      <c r="G2325" s="165"/>
      <c r="H2325" s="165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56"/>
    </row>
    <row r="2326" spans="1:22" ht="30" x14ac:dyDescent="0.25">
      <c r="A2326" s="25">
        <v>2315</v>
      </c>
      <c r="B2326" s="89" t="s">
        <v>141</v>
      </c>
      <c r="C2326" s="90" t="s">
        <v>44</v>
      </c>
      <c r="D2326" s="89" t="s">
        <v>27</v>
      </c>
      <c r="E2326" s="89"/>
      <c r="F2326" s="89"/>
      <c r="G2326" s="163"/>
      <c r="H2326" s="167">
        <v>2365760</v>
      </c>
      <c r="I2326" s="89" t="s">
        <v>52</v>
      </c>
      <c r="J2326" s="60"/>
      <c r="K2326" s="60"/>
      <c r="L2326" s="60"/>
      <c r="M2326" s="60"/>
      <c r="N2326" s="60"/>
      <c r="O2326" s="60"/>
      <c r="P2326" s="60">
        <v>3</v>
      </c>
      <c r="Q2326" s="60"/>
      <c r="R2326" s="60"/>
      <c r="S2326" s="60"/>
      <c r="T2326" s="60">
        <v>1</v>
      </c>
      <c r="U2326" s="60"/>
      <c r="V2326" s="56"/>
    </row>
    <row r="2327" spans="1:22" x14ac:dyDescent="0.25">
      <c r="A2327" s="25">
        <v>2316</v>
      </c>
      <c r="B2327" s="23"/>
      <c r="C2327" s="51" t="s">
        <v>885</v>
      </c>
      <c r="D2327" s="23"/>
      <c r="E2327" s="84"/>
      <c r="F2327" s="23"/>
      <c r="G2327" s="165"/>
      <c r="H2327" s="165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56"/>
    </row>
    <row r="2328" spans="1:22" x14ac:dyDescent="0.25">
      <c r="A2328" s="25">
        <v>2317</v>
      </c>
      <c r="B2328" s="23"/>
      <c r="C2328" s="1" t="s">
        <v>886</v>
      </c>
      <c r="D2328" s="23"/>
      <c r="E2328" s="8">
        <v>1840</v>
      </c>
      <c r="F2328" s="25" t="s">
        <v>152</v>
      </c>
      <c r="G2328" s="165">
        <v>130</v>
      </c>
      <c r="H2328" s="165">
        <f t="shared" ref="H2328:H2344" si="158">G2328*E2328</f>
        <v>239200</v>
      </c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56"/>
    </row>
    <row r="2329" spans="1:22" x14ac:dyDescent="0.25">
      <c r="A2329" s="25">
        <v>2318</v>
      </c>
      <c r="B2329" s="23"/>
      <c r="C2329" s="1" t="s">
        <v>887</v>
      </c>
      <c r="D2329" s="23"/>
      <c r="E2329" s="8">
        <v>1840</v>
      </c>
      <c r="F2329" s="25" t="s">
        <v>152</v>
      </c>
      <c r="G2329" s="165">
        <v>180</v>
      </c>
      <c r="H2329" s="165">
        <f t="shared" si="158"/>
        <v>331200</v>
      </c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56"/>
    </row>
    <row r="2330" spans="1:22" x14ac:dyDescent="0.25">
      <c r="A2330" s="25">
        <v>2319</v>
      </c>
      <c r="B2330" s="23"/>
      <c r="C2330" s="1" t="s">
        <v>888</v>
      </c>
      <c r="D2330" s="23"/>
      <c r="E2330" s="8">
        <v>1840</v>
      </c>
      <c r="F2330" s="25" t="s">
        <v>152</v>
      </c>
      <c r="G2330" s="165">
        <v>115</v>
      </c>
      <c r="H2330" s="165">
        <f t="shared" si="158"/>
        <v>211600</v>
      </c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56"/>
    </row>
    <row r="2331" spans="1:22" x14ac:dyDescent="0.25">
      <c r="A2331" s="25">
        <v>2320</v>
      </c>
      <c r="B2331" s="23"/>
      <c r="C2331" s="1" t="s">
        <v>889</v>
      </c>
      <c r="D2331" s="23"/>
      <c r="E2331" s="8">
        <v>1840</v>
      </c>
      <c r="F2331" s="25" t="s">
        <v>152</v>
      </c>
      <c r="G2331" s="165">
        <v>170</v>
      </c>
      <c r="H2331" s="165">
        <f t="shared" si="158"/>
        <v>312800</v>
      </c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56"/>
    </row>
    <row r="2332" spans="1:22" x14ac:dyDescent="0.25">
      <c r="A2332" s="25">
        <v>2321</v>
      </c>
      <c r="B2332" s="23"/>
      <c r="C2332" s="1" t="s">
        <v>890</v>
      </c>
      <c r="D2332" s="23"/>
      <c r="E2332" s="8">
        <v>1840</v>
      </c>
      <c r="F2332" s="25" t="s">
        <v>152</v>
      </c>
      <c r="G2332" s="165">
        <v>90</v>
      </c>
      <c r="H2332" s="165">
        <f t="shared" si="158"/>
        <v>165600</v>
      </c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56"/>
    </row>
    <row r="2333" spans="1:22" x14ac:dyDescent="0.25">
      <c r="A2333" s="25">
        <v>2322</v>
      </c>
      <c r="B2333" s="23"/>
      <c r="C2333" s="16" t="s">
        <v>842</v>
      </c>
      <c r="D2333" s="23"/>
      <c r="E2333" s="8">
        <v>965</v>
      </c>
      <c r="F2333" s="25" t="s">
        <v>152</v>
      </c>
      <c r="G2333" s="31">
        <v>155</v>
      </c>
      <c r="H2333" s="165">
        <f t="shared" si="158"/>
        <v>149575</v>
      </c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56"/>
    </row>
    <row r="2334" spans="1:22" x14ac:dyDescent="0.25">
      <c r="A2334" s="25">
        <v>2323</v>
      </c>
      <c r="B2334" s="23"/>
      <c r="C2334" s="16" t="s">
        <v>843</v>
      </c>
      <c r="D2334" s="23"/>
      <c r="E2334" s="8">
        <v>965</v>
      </c>
      <c r="F2334" s="25" t="s">
        <v>152</v>
      </c>
      <c r="G2334" s="31">
        <v>180</v>
      </c>
      <c r="H2334" s="165">
        <f t="shared" si="158"/>
        <v>173700</v>
      </c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56"/>
    </row>
    <row r="2335" spans="1:22" x14ac:dyDescent="0.25">
      <c r="A2335" s="25">
        <v>2324</v>
      </c>
      <c r="B2335" s="23"/>
      <c r="C2335" s="16" t="s">
        <v>844</v>
      </c>
      <c r="D2335" s="23"/>
      <c r="E2335" s="8">
        <v>965</v>
      </c>
      <c r="F2335" s="25" t="s">
        <v>152</v>
      </c>
      <c r="G2335" s="31">
        <v>50</v>
      </c>
      <c r="H2335" s="165">
        <f t="shared" si="158"/>
        <v>48250</v>
      </c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56"/>
    </row>
    <row r="2336" spans="1:22" x14ac:dyDescent="0.25">
      <c r="A2336" s="25">
        <v>2325</v>
      </c>
      <c r="B2336" s="23"/>
      <c r="C2336" s="16" t="s">
        <v>845</v>
      </c>
      <c r="D2336" s="23"/>
      <c r="E2336" s="8">
        <v>965</v>
      </c>
      <c r="F2336" s="25" t="s">
        <v>152</v>
      </c>
      <c r="G2336" s="31">
        <v>210</v>
      </c>
      <c r="H2336" s="165">
        <f t="shared" si="158"/>
        <v>202650</v>
      </c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56"/>
    </row>
    <row r="2337" spans="1:22" x14ac:dyDescent="0.25">
      <c r="A2337" s="25">
        <v>2326</v>
      </c>
      <c r="B2337" s="23"/>
      <c r="C2337" s="16" t="s">
        <v>846</v>
      </c>
      <c r="D2337" s="23"/>
      <c r="E2337" s="8">
        <v>965</v>
      </c>
      <c r="F2337" s="25" t="s">
        <v>152</v>
      </c>
      <c r="G2337" s="31">
        <v>140</v>
      </c>
      <c r="H2337" s="165">
        <f t="shared" si="158"/>
        <v>135100</v>
      </c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56"/>
    </row>
    <row r="2338" spans="1:22" x14ac:dyDescent="0.25">
      <c r="A2338" s="25">
        <v>2327</v>
      </c>
      <c r="B2338" s="23"/>
      <c r="C2338" s="16" t="s">
        <v>847</v>
      </c>
      <c r="D2338" s="23"/>
      <c r="E2338" s="8">
        <v>965</v>
      </c>
      <c r="F2338" s="25" t="s">
        <v>152</v>
      </c>
      <c r="G2338" s="31">
        <v>200</v>
      </c>
      <c r="H2338" s="165">
        <f t="shared" si="158"/>
        <v>193000</v>
      </c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56"/>
    </row>
    <row r="2339" spans="1:22" x14ac:dyDescent="0.25">
      <c r="A2339" s="25">
        <v>2328</v>
      </c>
      <c r="B2339" s="23"/>
      <c r="C2339" s="16" t="s">
        <v>848</v>
      </c>
      <c r="D2339" s="23"/>
      <c r="E2339" s="8">
        <v>965</v>
      </c>
      <c r="F2339" s="25" t="s">
        <v>152</v>
      </c>
      <c r="G2339" s="31">
        <v>100</v>
      </c>
      <c r="H2339" s="165">
        <f t="shared" si="158"/>
        <v>96500</v>
      </c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56"/>
    </row>
    <row r="2340" spans="1:22" x14ac:dyDescent="0.25">
      <c r="A2340" s="25">
        <v>2329</v>
      </c>
      <c r="B2340" s="23"/>
      <c r="C2340" s="16" t="s">
        <v>849</v>
      </c>
      <c r="D2340" s="23"/>
      <c r="E2340" s="8">
        <v>965</v>
      </c>
      <c r="F2340" s="8" t="s">
        <v>291</v>
      </c>
      <c r="G2340" s="165">
        <v>25</v>
      </c>
      <c r="H2340" s="165">
        <f t="shared" si="158"/>
        <v>24125</v>
      </c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56"/>
    </row>
    <row r="2341" spans="1:22" x14ac:dyDescent="0.25">
      <c r="A2341" s="25">
        <v>2330</v>
      </c>
      <c r="B2341" s="23"/>
      <c r="C2341" s="16" t="s">
        <v>850</v>
      </c>
      <c r="D2341" s="23"/>
      <c r="E2341" s="8">
        <v>965</v>
      </c>
      <c r="F2341" s="25" t="s">
        <v>152</v>
      </c>
      <c r="G2341" s="165">
        <v>30</v>
      </c>
      <c r="H2341" s="165">
        <f t="shared" si="158"/>
        <v>28950</v>
      </c>
      <c r="I2341" s="213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56"/>
    </row>
    <row r="2342" spans="1:22" x14ac:dyDescent="0.25">
      <c r="A2342" s="25">
        <v>2331</v>
      </c>
      <c r="B2342" s="23"/>
      <c r="C2342" s="16" t="s">
        <v>851</v>
      </c>
      <c r="D2342" s="23"/>
      <c r="E2342" s="8">
        <v>965</v>
      </c>
      <c r="F2342" s="25" t="s">
        <v>152</v>
      </c>
      <c r="G2342" s="165">
        <v>22</v>
      </c>
      <c r="H2342" s="165">
        <f t="shared" si="158"/>
        <v>21230</v>
      </c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56"/>
    </row>
    <row r="2343" spans="1:22" x14ac:dyDescent="0.25">
      <c r="A2343" s="25">
        <v>2332</v>
      </c>
      <c r="B2343" s="23"/>
      <c r="C2343" s="11" t="s">
        <v>389</v>
      </c>
      <c r="D2343" s="23"/>
      <c r="E2343" s="8">
        <v>965</v>
      </c>
      <c r="F2343" s="25" t="s">
        <v>152</v>
      </c>
      <c r="G2343" s="165">
        <v>15</v>
      </c>
      <c r="H2343" s="165">
        <f t="shared" si="158"/>
        <v>14475</v>
      </c>
      <c r="I2343" s="213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56"/>
    </row>
    <row r="2344" spans="1:22" x14ac:dyDescent="0.25">
      <c r="A2344" s="25">
        <v>2333</v>
      </c>
      <c r="B2344" s="23"/>
      <c r="C2344" s="11" t="s">
        <v>851</v>
      </c>
      <c r="D2344" s="23"/>
      <c r="E2344" s="8">
        <v>965</v>
      </c>
      <c r="F2344" s="25" t="s">
        <v>152</v>
      </c>
      <c r="G2344" s="165">
        <v>18.450776999999999</v>
      </c>
      <c r="H2344" s="165">
        <f t="shared" si="158"/>
        <v>17804.999804999999</v>
      </c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56"/>
    </row>
    <row r="2345" spans="1:22" x14ac:dyDescent="0.25">
      <c r="A2345" s="25">
        <v>2334</v>
      </c>
      <c r="B2345" s="23"/>
      <c r="C2345" s="11"/>
      <c r="D2345" s="23"/>
      <c r="E2345" s="2"/>
      <c r="F2345" s="2"/>
      <c r="G2345" s="165"/>
      <c r="H2345" s="165"/>
      <c r="I2345" s="66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56"/>
    </row>
    <row r="2346" spans="1:22" ht="22.5" customHeight="1" x14ac:dyDescent="0.25">
      <c r="A2346" s="25">
        <v>2335</v>
      </c>
      <c r="B2346" s="90" t="s">
        <v>141</v>
      </c>
      <c r="C2346" s="90" t="s">
        <v>1393</v>
      </c>
      <c r="D2346" s="89" t="s">
        <v>27</v>
      </c>
      <c r="E2346" s="90"/>
      <c r="F2346" s="90"/>
      <c r="G2346" s="163"/>
      <c r="H2346" s="167">
        <v>2500000</v>
      </c>
      <c r="I2346" s="89" t="s">
        <v>52</v>
      </c>
      <c r="J2346" s="60"/>
      <c r="K2346" s="60">
        <v>2</v>
      </c>
      <c r="L2346" s="60"/>
      <c r="M2346" s="60">
        <v>2</v>
      </c>
      <c r="N2346" s="60"/>
      <c r="O2346" s="60"/>
      <c r="P2346" s="60">
        <v>2</v>
      </c>
      <c r="Q2346" s="60"/>
      <c r="R2346" s="60"/>
      <c r="S2346" s="60">
        <v>2</v>
      </c>
      <c r="T2346" s="60"/>
      <c r="U2346" s="60"/>
      <c r="V2346" s="56"/>
    </row>
    <row r="2347" spans="1:22" x14ac:dyDescent="0.25">
      <c r="A2347" s="25">
        <v>2336</v>
      </c>
      <c r="B2347" s="14"/>
      <c r="C2347" s="14" t="s">
        <v>1389</v>
      </c>
      <c r="D2347" s="14"/>
      <c r="E2347" s="84">
        <v>76</v>
      </c>
      <c r="F2347" s="25" t="s">
        <v>152</v>
      </c>
      <c r="G2347" s="165">
        <v>5000</v>
      </c>
      <c r="H2347" s="165">
        <v>380000</v>
      </c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56"/>
    </row>
    <row r="2348" spans="1:22" x14ac:dyDescent="0.25">
      <c r="A2348" s="25">
        <v>2337</v>
      </c>
      <c r="B2348" s="14"/>
      <c r="C2348" s="14" t="s">
        <v>1394</v>
      </c>
      <c r="D2348" s="14"/>
      <c r="E2348" s="84">
        <v>72</v>
      </c>
      <c r="F2348" s="25" t="s">
        <v>152</v>
      </c>
      <c r="G2348" s="165">
        <v>5200</v>
      </c>
      <c r="H2348" s="165">
        <v>374400</v>
      </c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56"/>
    </row>
    <row r="2349" spans="1:22" x14ac:dyDescent="0.25">
      <c r="A2349" s="25">
        <v>2338</v>
      </c>
      <c r="B2349" s="14"/>
      <c r="C2349" s="14" t="s">
        <v>1390</v>
      </c>
      <c r="D2349" s="14"/>
      <c r="E2349" s="84">
        <v>72</v>
      </c>
      <c r="F2349" s="25" t="s">
        <v>152</v>
      </c>
      <c r="G2349" s="165">
        <v>5200</v>
      </c>
      <c r="H2349" s="165">
        <v>374400</v>
      </c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56"/>
    </row>
    <row r="2350" spans="1:22" x14ac:dyDescent="0.25">
      <c r="A2350" s="25">
        <v>2339</v>
      </c>
      <c r="B2350" s="14"/>
      <c r="C2350" s="14" t="s">
        <v>1395</v>
      </c>
      <c r="D2350" s="14"/>
      <c r="E2350" s="84">
        <v>80</v>
      </c>
      <c r="F2350" s="25" t="s">
        <v>152</v>
      </c>
      <c r="G2350" s="165">
        <v>1000</v>
      </c>
      <c r="H2350" s="165">
        <v>80000</v>
      </c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56"/>
    </row>
    <row r="2351" spans="1:22" x14ac:dyDescent="0.25">
      <c r="A2351" s="25">
        <v>2340</v>
      </c>
      <c r="B2351" s="14"/>
      <c r="C2351" s="14" t="s">
        <v>1396</v>
      </c>
      <c r="D2351" s="14"/>
      <c r="E2351" s="84">
        <v>148</v>
      </c>
      <c r="F2351" s="25" t="s">
        <v>152</v>
      </c>
      <c r="G2351" s="165">
        <v>1000</v>
      </c>
      <c r="H2351" s="165">
        <v>148000</v>
      </c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56"/>
    </row>
    <row r="2352" spans="1:22" x14ac:dyDescent="0.25">
      <c r="A2352" s="25">
        <v>2341</v>
      </c>
      <c r="B2352" s="14"/>
      <c r="C2352" s="14" t="s">
        <v>1397</v>
      </c>
      <c r="D2352" s="14"/>
      <c r="E2352" s="84">
        <v>120</v>
      </c>
      <c r="F2352" s="25" t="s">
        <v>152</v>
      </c>
      <c r="G2352" s="165">
        <v>1000</v>
      </c>
      <c r="H2352" s="165">
        <v>120000</v>
      </c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56"/>
    </row>
    <row r="2353" spans="1:22" x14ac:dyDescent="0.25">
      <c r="A2353" s="25">
        <v>2342</v>
      </c>
      <c r="B2353" s="14"/>
      <c r="C2353" s="14" t="s">
        <v>1398</v>
      </c>
      <c r="D2353" s="14"/>
      <c r="E2353" s="84">
        <v>72</v>
      </c>
      <c r="F2353" s="25" t="s">
        <v>152</v>
      </c>
      <c r="G2353" s="165">
        <v>2400</v>
      </c>
      <c r="H2353" s="165">
        <v>172800</v>
      </c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56"/>
    </row>
    <row r="2354" spans="1:22" x14ac:dyDescent="0.25">
      <c r="A2354" s="25">
        <v>2343</v>
      </c>
      <c r="B2354" s="14"/>
      <c r="C2354" s="14" t="s">
        <v>1399</v>
      </c>
      <c r="D2354" s="14"/>
      <c r="E2354" s="84">
        <v>160</v>
      </c>
      <c r="F2354" s="25" t="s">
        <v>152</v>
      </c>
      <c r="G2354" s="165">
        <v>600</v>
      </c>
      <c r="H2354" s="165">
        <v>96000</v>
      </c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56"/>
    </row>
    <row r="2355" spans="1:22" x14ac:dyDescent="0.25">
      <c r="A2355" s="25">
        <v>2344</v>
      </c>
      <c r="B2355" s="14"/>
      <c r="C2355" s="14" t="s">
        <v>1400</v>
      </c>
      <c r="D2355" s="14"/>
      <c r="E2355" s="84">
        <v>60</v>
      </c>
      <c r="F2355" s="25" t="s">
        <v>152</v>
      </c>
      <c r="G2355" s="165">
        <v>1500</v>
      </c>
      <c r="H2355" s="165">
        <v>90000</v>
      </c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56"/>
    </row>
    <row r="2356" spans="1:22" x14ac:dyDescent="0.25">
      <c r="A2356" s="25">
        <v>2345</v>
      </c>
      <c r="B2356" s="14"/>
      <c r="C2356" s="14" t="s">
        <v>1401</v>
      </c>
      <c r="D2356" s="14"/>
      <c r="E2356" s="84">
        <v>60</v>
      </c>
      <c r="F2356" s="25" t="s">
        <v>152</v>
      </c>
      <c r="G2356" s="165">
        <v>1500</v>
      </c>
      <c r="H2356" s="165">
        <v>90000</v>
      </c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56"/>
    </row>
    <row r="2357" spans="1:22" x14ac:dyDescent="0.25">
      <c r="A2357" s="25">
        <v>2346</v>
      </c>
      <c r="B2357" s="14"/>
      <c r="C2357" s="14" t="s">
        <v>189</v>
      </c>
      <c r="D2357" s="14"/>
      <c r="E2357" s="84">
        <v>20</v>
      </c>
      <c r="F2357" s="25" t="s">
        <v>152</v>
      </c>
      <c r="G2357" s="165">
        <v>14000</v>
      </c>
      <c r="H2357" s="165">
        <v>280000</v>
      </c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56"/>
    </row>
    <row r="2358" spans="1:22" x14ac:dyDescent="0.25">
      <c r="A2358" s="25">
        <v>2347</v>
      </c>
      <c r="B2358" s="14"/>
      <c r="C2358" s="14" t="s">
        <v>1402</v>
      </c>
      <c r="D2358" s="14"/>
      <c r="E2358" s="84">
        <v>20</v>
      </c>
      <c r="F2358" s="25" t="s">
        <v>152</v>
      </c>
      <c r="G2358" s="165">
        <v>14720</v>
      </c>
      <c r="H2358" s="165">
        <v>294400</v>
      </c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56"/>
    </row>
    <row r="2359" spans="1:22" x14ac:dyDescent="0.25">
      <c r="A2359" s="25">
        <v>2348</v>
      </c>
      <c r="B2359" s="23"/>
      <c r="C2359" s="11"/>
      <c r="D2359" s="23"/>
      <c r="E2359" s="2"/>
      <c r="F2359" s="2"/>
      <c r="G2359" s="165"/>
      <c r="H2359" s="165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56"/>
    </row>
    <row r="2360" spans="1:22" ht="30" x14ac:dyDescent="0.25">
      <c r="A2360" s="25">
        <v>2349</v>
      </c>
      <c r="B2360" s="86" t="s">
        <v>192</v>
      </c>
      <c r="C2360" s="87" t="s">
        <v>193</v>
      </c>
      <c r="D2360" s="86" t="s">
        <v>26</v>
      </c>
      <c r="E2360" s="86"/>
      <c r="F2360" s="86"/>
      <c r="G2360" s="161"/>
      <c r="H2360" s="162">
        <f>H2361+H2364+H2367+H2370+H2373+H2376+H2379+H2382</f>
        <v>592899.94999999995</v>
      </c>
      <c r="I2360" s="86" t="s">
        <v>52</v>
      </c>
      <c r="J2360" s="88">
        <v>17</v>
      </c>
      <c r="K2360" s="88">
        <v>17</v>
      </c>
      <c r="L2360" s="88">
        <v>16</v>
      </c>
      <c r="M2360" s="88">
        <v>24</v>
      </c>
      <c r="N2360" s="88">
        <v>16</v>
      </c>
      <c r="O2360" s="88">
        <v>14</v>
      </c>
      <c r="P2360" s="88">
        <v>25</v>
      </c>
      <c r="Q2360" s="88">
        <v>16</v>
      </c>
      <c r="R2360" s="88">
        <v>14</v>
      </c>
      <c r="S2360" s="88">
        <v>20</v>
      </c>
      <c r="T2360" s="88">
        <v>16</v>
      </c>
      <c r="U2360" s="88">
        <v>14</v>
      </c>
      <c r="V2360" s="56"/>
    </row>
    <row r="2361" spans="1:22" ht="29.25" customHeight="1" x14ac:dyDescent="0.25">
      <c r="A2361" s="25">
        <v>2350</v>
      </c>
      <c r="B2361" s="89" t="s">
        <v>192</v>
      </c>
      <c r="C2361" s="90" t="s">
        <v>107</v>
      </c>
      <c r="D2361" s="89" t="s">
        <v>27</v>
      </c>
      <c r="E2361" s="89"/>
      <c r="F2361" s="89"/>
      <c r="G2361" s="163"/>
      <c r="H2361" s="167">
        <v>60000</v>
      </c>
      <c r="I2361" s="89" t="s">
        <v>52</v>
      </c>
      <c r="J2361" s="60">
        <v>2</v>
      </c>
      <c r="K2361" s="60">
        <v>2</v>
      </c>
      <c r="L2361" s="60">
        <v>2</v>
      </c>
      <c r="M2361" s="60">
        <v>2</v>
      </c>
      <c r="N2361" s="60">
        <v>2</v>
      </c>
      <c r="O2361" s="60">
        <v>2</v>
      </c>
      <c r="P2361" s="60">
        <v>3</v>
      </c>
      <c r="Q2361" s="60">
        <v>2</v>
      </c>
      <c r="R2361" s="60">
        <v>2</v>
      </c>
      <c r="S2361" s="60">
        <v>2</v>
      </c>
      <c r="T2361" s="60">
        <v>2</v>
      </c>
      <c r="U2361" s="60">
        <v>2</v>
      </c>
      <c r="V2361" s="56"/>
    </row>
    <row r="2362" spans="1:22" x14ac:dyDescent="0.25">
      <c r="A2362" s="25">
        <v>2351</v>
      </c>
      <c r="B2362" s="23"/>
      <c r="C2362" s="14" t="s">
        <v>104</v>
      </c>
      <c r="D2362" s="23"/>
      <c r="E2362" s="84">
        <v>60</v>
      </c>
      <c r="F2362" s="23" t="s">
        <v>28</v>
      </c>
      <c r="G2362" s="165">
        <v>1000</v>
      </c>
      <c r="H2362" s="165">
        <f>G2362*E2362</f>
        <v>60000</v>
      </c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56"/>
    </row>
    <row r="2363" spans="1:22" x14ac:dyDescent="0.25">
      <c r="A2363" s="25">
        <v>2352</v>
      </c>
      <c r="B2363" s="23"/>
      <c r="C2363" s="14"/>
      <c r="D2363" s="23"/>
      <c r="E2363" s="84"/>
      <c r="F2363" s="23"/>
      <c r="G2363" s="165"/>
      <c r="H2363" s="165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56"/>
    </row>
    <row r="2364" spans="1:22" ht="30" x14ac:dyDescent="0.25">
      <c r="A2364" s="25">
        <v>2353</v>
      </c>
      <c r="B2364" s="89" t="s">
        <v>192</v>
      </c>
      <c r="C2364" s="90" t="s">
        <v>72</v>
      </c>
      <c r="D2364" s="89" t="s">
        <v>27</v>
      </c>
      <c r="E2364" s="89"/>
      <c r="F2364" s="89"/>
      <c r="G2364" s="163"/>
      <c r="H2364" s="167">
        <v>199899.99</v>
      </c>
      <c r="I2364" s="89" t="s">
        <v>52</v>
      </c>
      <c r="J2364" s="60">
        <v>1</v>
      </c>
      <c r="K2364" s="60">
        <v>1</v>
      </c>
      <c r="L2364" s="60"/>
      <c r="M2364" s="60">
        <v>3</v>
      </c>
      <c r="N2364" s="60"/>
      <c r="O2364" s="60"/>
      <c r="P2364" s="60"/>
      <c r="Q2364" s="60">
        <v>1</v>
      </c>
      <c r="R2364" s="60">
        <v>1</v>
      </c>
      <c r="S2364" s="60">
        <v>1</v>
      </c>
      <c r="T2364" s="60"/>
      <c r="U2364" s="60"/>
      <c r="V2364" s="56"/>
    </row>
    <row r="2365" spans="1:22" x14ac:dyDescent="0.25">
      <c r="A2365" s="25">
        <v>2354</v>
      </c>
      <c r="B2365" s="23"/>
      <c r="C2365" s="14" t="s">
        <v>104</v>
      </c>
      <c r="D2365" s="23"/>
      <c r="E2365" s="84">
        <v>200</v>
      </c>
      <c r="F2365" s="23" t="s">
        <v>28</v>
      </c>
      <c r="G2365" s="165">
        <v>999.49995000000001</v>
      </c>
      <c r="H2365" s="165">
        <f>G2365*E2365</f>
        <v>199899.99</v>
      </c>
      <c r="I2365" s="75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56"/>
    </row>
    <row r="2366" spans="1:22" x14ac:dyDescent="0.25">
      <c r="A2366" s="25">
        <v>2355</v>
      </c>
      <c r="B2366" s="23"/>
      <c r="C2366" s="14"/>
      <c r="D2366" s="23"/>
      <c r="E2366" s="84"/>
      <c r="F2366" s="23"/>
      <c r="G2366" s="165"/>
      <c r="H2366" s="165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56"/>
    </row>
    <row r="2367" spans="1:22" ht="30" x14ac:dyDescent="0.25">
      <c r="A2367" s="25">
        <v>2356</v>
      </c>
      <c r="B2367" s="89" t="s">
        <v>192</v>
      </c>
      <c r="C2367" s="90" t="s">
        <v>110</v>
      </c>
      <c r="D2367" s="89" t="s">
        <v>27</v>
      </c>
      <c r="E2367" s="89"/>
      <c r="F2367" s="89"/>
      <c r="G2367" s="163"/>
      <c r="H2367" s="167">
        <v>44000</v>
      </c>
      <c r="I2367" s="89" t="s">
        <v>52</v>
      </c>
      <c r="J2367" s="60">
        <v>2</v>
      </c>
      <c r="K2367" s="60">
        <v>2</v>
      </c>
      <c r="L2367" s="60">
        <v>2</v>
      </c>
      <c r="M2367" s="60">
        <v>3</v>
      </c>
      <c r="N2367" s="60">
        <v>2</v>
      </c>
      <c r="O2367" s="60">
        <v>2</v>
      </c>
      <c r="P2367" s="60">
        <v>4</v>
      </c>
      <c r="Q2367" s="60">
        <v>2</v>
      </c>
      <c r="R2367" s="60">
        <v>2</v>
      </c>
      <c r="S2367" s="60">
        <v>2</v>
      </c>
      <c r="T2367" s="60">
        <v>2</v>
      </c>
      <c r="U2367" s="60">
        <v>2</v>
      </c>
      <c r="V2367" s="56"/>
    </row>
    <row r="2368" spans="1:22" x14ac:dyDescent="0.25">
      <c r="A2368" s="25">
        <v>2357</v>
      </c>
      <c r="B2368" s="23"/>
      <c r="C2368" s="14" t="s">
        <v>104</v>
      </c>
      <c r="D2368" s="23"/>
      <c r="E2368" s="8">
        <v>44</v>
      </c>
      <c r="F2368" s="8" t="s">
        <v>152</v>
      </c>
      <c r="G2368" s="180">
        <v>1000</v>
      </c>
      <c r="H2368" s="165">
        <f>G2368*E2368</f>
        <v>44000</v>
      </c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56"/>
    </row>
    <row r="2369" spans="1:22" x14ac:dyDescent="0.25">
      <c r="A2369" s="25">
        <v>2358</v>
      </c>
      <c r="B2369" s="23"/>
      <c r="C2369" s="14"/>
      <c r="D2369" s="23"/>
      <c r="E2369" s="84"/>
      <c r="F2369" s="23"/>
      <c r="G2369" s="165"/>
      <c r="H2369" s="165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56"/>
    </row>
    <row r="2370" spans="1:22" ht="30" x14ac:dyDescent="0.25">
      <c r="A2370" s="25">
        <v>2359</v>
      </c>
      <c r="B2370" s="89" t="s">
        <v>192</v>
      </c>
      <c r="C2370" s="90" t="s">
        <v>97</v>
      </c>
      <c r="D2370" s="89" t="s">
        <v>27</v>
      </c>
      <c r="E2370" s="89"/>
      <c r="F2370" s="89"/>
      <c r="G2370" s="163"/>
      <c r="H2370" s="167">
        <v>48000</v>
      </c>
      <c r="I2370" s="89" t="s">
        <v>52</v>
      </c>
      <c r="J2370" s="60">
        <v>3</v>
      </c>
      <c r="K2370" s="60">
        <v>3</v>
      </c>
      <c r="L2370" s="60">
        <v>3</v>
      </c>
      <c r="M2370" s="60">
        <v>4</v>
      </c>
      <c r="N2370" s="60">
        <v>3</v>
      </c>
      <c r="O2370" s="60">
        <v>1</v>
      </c>
      <c r="P2370" s="60">
        <v>3</v>
      </c>
      <c r="Q2370" s="60">
        <v>2</v>
      </c>
      <c r="R2370" s="60">
        <v>1</v>
      </c>
      <c r="S2370" s="60">
        <v>3</v>
      </c>
      <c r="T2370" s="60">
        <v>3</v>
      </c>
      <c r="U2370" s="60">
        <v>2</v>
      </c>
      <c r="V2370" s="56"/>
    </row>
    <row r="2371" spans="1:22" x14ac:dyDescent="0.25">
      <c r="A2371" s="25">
        <v>2360</v>
      </c>
      <c r="B2371" s="23"/>
      <c r="C2371" s="14" t="s">
        <v>104</v>
      </c>
      <c r="D2371" s="23"/>
      <c r="E2371" s="84">
        <v>48</v>
      </c>
      <c r="F2371" s="23" t="s">
        <v>152</v>
      </c>
      <c r="G2371" s="165">
        <v>1000</v>
      </c>
      <c r="H2371" s="165">
        <f>G2371*E2371</f>
        <v>48000</v>
      </c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56"/>
    </row>
    <row r="2372" spans="1:22" x14ac:dyDescent="0.25">
      <c r="A2372" s="25">
        <v>2361</v>
      </c>
      <c r="B2372" s="23"/>
      <c r="C2372" s="14"/>
      <c r="D2372" s="23"/>
      <c r="E2372" s="84"/>
      <c r="F2372" s="23"/>
      <c r="G2372" s="165"/>
      <c r="H2372" s="165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56"/>
    </row>
    <row r="2373" spans="1:22" ht="25.5" customHeight="1" x14ac:dyDescent="0.25">
      <c r="A2373" s="25">
        <v>2362</v>
      </c>
      <c r="B2373" s="89" t="s">
        <v>192</v>
      </c>
      <c r="C2373" s="90" t="s">
        <v>116</v>
      </c>
      <c r="D2373" s="89" t="s">
        <v>27</v>
      </c>
      <c r="E2373" s="89"/>
      <c r="F2373" s="89"/>
      <c r="G2373" s="163"/>
      <c r="H2373" s="167">
        <v>39999.96</v>
      </c>
      <c r="I2373" s="89" t="s">
        <v>52</v>
      </c>
      <c r="J2373" s="60">
        <v>3</v>
      </c>
      <c r="K2373" s="60">
        <v>3</v>
      </c>
      <c r="L2373" s="60">
        <v>3</v>
      </c>
      <c r="M2373" s="60">
        <v>3</v>
      </c>
      <c r="N2373" s="60">
        <v>3</v>
      </c>
      <c r="O2373" s="60">
        <v>3</v>
      </c>
      <c r="P2373" s="60">
        <v>3</v>
      </c>
      <c r="Q2373" s="60">
        <v>3</v>
      </c>
      <c r="R2373" s="60">
        <v>2</v>
      </c>
      <c r="S2373" s="60">
        <v>3</v>
      </c>
      <c r="T2373" s="60">
        <v>3</v>
      </c>
      <c r="U2373" s="60">
        <v>2</v>
      </c>
      <c r="V2373" s="56"/>
    </row>
    <row r="2374" spans="1:22" x14ac:dyDescent="0.25">
      <c r="A2374" s="25">
        <v>2363</v>
      </c>
      <c r="B2374" s="23"/>
      <c r="C2374" s="14" t="s">
        <v>104</v>
      </c>
      <c r="D2374" s="23"/>
      <c r="E2374" s="84">
        <v>40</v>
      </c>
      <c r="F2374" s="23" t="s">
        <v>152</v>
      </c>
      <c r="G2374" s="165">
        <v>999.99990000000003</v>
      </c>
      <c r="H2374" s="165">
        <v>39999.96</v>
      </c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56"/>
    </row>
    <row r="2375" spans="1:22" x14ac:dyDescent="0.25">
      <c r="A2375" s="25">
        <v>2364</v>
      </c>
      <c r="B2375" s="23"/>
      <c r="C2375" s="14"/>
      <c r="D2375" s="23"/>
      <c r="E2375" s="84"/>
      <c r="F2375" s="23"/>
      <c r="G2375" s="165"/>
      <c r="H2375" s="165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56"/>
    </row>
    <row r="2376" spans="1:22" ht="30" x14ac:dyDescent="0.25">
      <c r="A2376" s="25">
        <v>2365</v>
      </c>
      <c r="B2376" s="89" t="s">
        <v>192</v>
      </c>
      <c r="C2376" s="90" t="s">
        <v>102</v>
      </c>
      <c r="D2376" s="89" t="s">
        <v>27</v>
      </c>
      <c r="E2376" s="89"/>
      <c r="F2376" s="89"/>
      <c r="G2376" s="163"/>
      <c r="H2376" s="167">
        <v>15000</v>
      </c>
      <c r="I2376" s="89" t="s">
        <v>52</v>
      </c>
      <c r="J2376" s="60">
        <v>2</v>
      </c>
      <c r="K2376" s="60">
        <v>2</v>
      </c>
      <c r="L2376" s="60">
        <v>2</v>
      </c>
      <c r="M2376" s="60">
        <v>3</v>
      </c>
      <c r="N2376" s="60">
        <v>2</v>
      </c>
      <c r="O2376" s="60">
        <v>2</v>
      </c>
      <c r="P2376" s="60">
        <v>4</v>
      </c>
      <c r="Q2376" s="60">
        <v>2</v>
      </c>
      <c r="R2376" s="60">
        <v>2</v>
      </c>
      <c r="S2376" s="60">
        <v>3</v>
      </c>
      <c r="T2376" s="60">
        <v>2</v>
      </c>
      <c r="U2376" s="60">
        <v>2</v>
      </c>
      <c r="V2376" s="56"/>
    </row>
    <row r="2377" spans="1:22" x14ac:dyDescent="0.25">
      <c r="A2377" s="25">
        <v>2366</v>
      </c>
      <c r="B2377" s="23"/>
      <c r="C2377" s="14" t="s">
        <v>104</v>
      </c>
      <c r="D2377" s="23"/>
      <c r="E2377" s="8">
        <v>15</v>
      </c>
      <c r="F2377" s="8" t="s">
        <v>152</v>
      </c>
      <c r="G2377" s="180">
        <v>1000</v>
      </c>
      <c r="H2377" s="165">
        <f>G2377*E2377</f>
        <v>15000</v>
      </c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56"/>
    </row>
    <row r="2378" spans="1:22" x14ac:dyDescent="0.25">
      <c r="A2378" s="25">
        <v>2367</v>
      </c>
      <c r="B2378" s="23"/>
      <c r="C2378" s="14"/>
      <c r="D2378" s="23"/>
      <c r="E2378" s="84"/>
      <c r="F2378" s="23"/>
      <c r="G2378" s="165"/>
      <c r="H2378" s="165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56"/>
    </row>
    <row r="2379" spans="1:22" ht="30" x14ac:dyDescent="0.25">
      <c r="A2379" s="25">
        <v>2368</v>
      </c>
      <c r="B2379" s="89" t="s">
        <v>192</v>
      </c>
      <c r="C2379" s="90" t="s">
        <v>98</v>
      </c>
      <c r="D2379" s="89" t="s">
        <v>27</v>
      </c>
      <c r="E2379" s="89"/>
      <c r="F2379" s="89"/>
      <c r="G2379" s="163"/>
      <c r="H2379" s="167">
        <v>140000</v>
      </c>
      <c r="I2379" s="89" t="s">
        <v>52</v>
      </c>
      <c r="J2379" s="60">
        <v>2</v>
      </c>
      <c r="K2379" s="60">
        <v>2</v>
      </c>
      <c r="L2379" s="60">
        <v>2</v>
      </c>
      <c r="M2379" s="60">
        <v>3</v>
      </c>
      <c r="N2379" s="60">
        <v>2</v>
      </c>
      <c r="O2379" s="60">
        <v>2</v>
      </c>
      <c r="P2379" s="60">
        <v>4</v>
      </c>
      <c r="Q2379" s="60">
        <v>2</v>
      </c>
      <c r="R2379" s="60">
        <v>2</v>
      </c>
      <c r="S2379" s="60">
        <v>4</v>
      </c>
      <c r="T2379" s="60">
        <v>2</v>
      </c>
      <c r="U2379" s="60">
        <v>2</v>
      </c>
      <c r="V2379" s="56"/>
    </row>
    <row r="2380" spans="1:22" x14ac:dyDescent="0.25">
      <c r="A2380" s="25">
        <v>2369</v>
      </c>
      <c r="B2380" s="23"/>
      <c r="C2380" s="14" t="s">
        <v>917</v>
      </c>
      <c r="D2380" s="23"/>
      <c r="E2380" s="84">
        <f>10*14</f>
        <v>140</v>
      </c>
      <c r="F2380" s="23" t="s">
        <v>28</v>
      </c>
      <c r="G2380" s="165">
        <v>1000</v>
      </c>
      <c r="H2380" s="165">
        <f>G2380*E2380</f>
        <v>140000</v>
      </c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56"/>
    </row>
    <row r="2381" spans="1:22" x14ac:dyDescent="0.25">
      <c r="A2381" s="25">
        <v>2370</v>
      </c>
      <c r="B2381" s="23"/>
      <c r="C2381" s="14"/>
      <c r="D2381" s="23"/>
      <c r="E2381" s="84"/>
      <c r="F2381" s="23"/>
      <c r="G2381" s="165"/>
      <c r="H2381" s="165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56"/>
    </row>
    <row r="2382" spans="1:22" ht="30" x14ac:dyDescent="0.25">
      <c r="A2382" s="25">
        <v>2371</v>
      </c>
      <c r="B2382" s="89" t="s">
        <v>192</v>
      </c>
      <c r="C2382" s="90" t="s">
        <v>95</v>
      </c>
      <c r="D2382" s="89" t="s">
        <v>27</v>
      </c>
      <c r="E2382" s="89"/>
      <c r="F2382" s="89"/>
      <c r="G2382" s="163"/>
      <c r="H2382" s="167">
        <v>46000</v>
      </c>
      <c r="I2382" s="89" t="s">
        <v>52</v>
      </c>
      <c r="J2382" s="60">
        <v>2</v>
      </c>
      <c r="K2382" s="60">
        <v>2</v>
      </c>
      <c r="L2382" s="60">
        <v>2</v>
      </c>
      <c r="M2382" s="60">
        <v>3</v>
      </c>
      <c r="N2382" s="60">
        <v>2</v>
      </c>
      <c r="O2382" s="60">
        <v>2</v>
      </c>
      <c r="P2382" s="60">
        <v>4</v>
      </c>
      <c r="Q2382" s="60">
        <v>2</v>
      </c>
      <c r="R2382" s="60">
        <v>2</v>
      </c>
      <c r="S2382" s="60">
        <v>2</v>
      </c>
      <c r="T2382" s="60">
        <v>2</v>
      </c>
      <c r="U2382" s="60">
        <v>2</v>
      </c>
      <c r="V2382" s="56"/>
    </row>
    <row r="2383" spans="1:22" x14ac:dyDescent="0.25">
      <c r="A2383" s="25">
        <v>2372</v>
      </c>
      <c r="B2383" s="23"/>
      <c r="C2383" s="14" t="s">
        <v>104</v>
      </c>
      <c r="D2383" s="23"/>
      <c r="E2383" s="84">
        <v>46</v>
      </c>
      <c r="F2383" s="23" t="s">
        <v>28</v>
      </c>
      <c r="G2383" s="165">
        <v>1000</v>
      </c>
      <c r="H2383" s="165">
        <f>G2383*E2383</f>
        <v>46000</v>
      </c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56"/>
    </row>
    <row r="2384" spans="1:22" x14ac:dyDescent="0.25">
      <c r="A2384" s="25">
        <v>2373</v>
      </c>
      <c r="B2384" s="23"/>
      <c r="C2384" s="14"/>
      <c r="D2384" s="23"/>
      <c r="E2384" s="84"/>
      <c r="F2384" s="23"/>
      <c r="G2384" s="165"/>
      <c r="H2384" s="165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56"/>
    </row>
    <row r="2385" spans="1:22" ht="30" x14ac:dyDescent="0.25">
      <c r="A2385" s="25">
        <v>2374</v>
      </c>
      <c r="B2385" s="86" t="s">
        <v>194</v>
      </c>
      <c r="C2385" s="87" t="s">
        <v>195</v>
      </c>
      <c r="D2385" s="86" t="s">
        <v>26</v>
      </c>
      <c r="E2385" s="86"/>
      <c r="F2385" s="86"/>
      <c r="G2385" s="161"/>
      <c r="H2385" s="162">
        <v>4000</v>
      </c>
      <c r="I2385" s="86" t="s">
        <v>52</v>
      </c>
      <c r="J2385" s="86"/>
      <c r="K2385" s="86"/>
      <c r="L2385" s="86"/>
      <c r="M2385" s="88">
        <v>1</v>
      </c>
      <c r="N2385" s="86"/>
      <c r="O2385" s="86"/>
      <c r="P2385" s="88">
        <v>1</v>
      </c>
      <c r="Q2385" s="86"/>
      <c r="R2385" s="86"/>
      <c r="S2385" s="86"/>
      <c r="T2385" s="86"/>
      <c r="U2385" s="86"/>
      <c r="V2385" s="56"/>
    </row>
    <row r="2386" spans="1:22" ht="30" x14ac:dyDescent="0.25">
      <c r="A2386" s="25">
        <v>2375</v>
      </c>
      <c r="B2386" s="89" t="s">
        <v>194</v>
      </c>
      <c r="C2386" s="90" t="s">
        <v>106</v>
      </c>
      <c r="D2386" s="89" t="s">
        <v>27</v>
      </c>
      <c r="E2386" s="89"/>
      <c r="F2386" s="89"/>
      <c r="G2386" s="163"/>
      <c r="H2386" s="167">
        <v>4000</v>
      </c>
      <c r="I2386" s="89" t="s">
        <v>52</v>
      </c>
      <c r="J2386" s="60"/>
      <c r="K2386" s="60"/>
      <c r="L2386" s="60"/>
      <c r="M2386" s="60">
        <v>1</v>
      </c>
      <c r="N2386" s="60"/>
      <c r="O2386" s="60"/>
      <c r="P2386" s="60">
        <v>1</v>
      </c>
      <c r="Q2386" s="60"/>
      <c r="R2386" s="60"/>
      <c r="S2386" s="60"/>
      <c r="T2386" s="60"/>
      <c r="U2386" s="60"/>
      <c r="V2386" s="56"/>
    </row>
    <row r="2387" spans="1:22" x14ac:dyDescent="0.25">
      <c r="A2387" s="25">
        <v>2376</v>
      </c>
      <c r="B2387" s="23"/>
      <c r="C2387" s="32" t="s">
        <v>1074</v>
      </c>
      <c r="D2387" s="23"/>
      <c r="E2387" s="84">
        <v>2</v>
      </c>
      <c r="F2387" s="23" t="s">
        <v>28</v>
      </c>
      <c r="G2387" s="165">
        <v>2000</v>
      </c>
      <c r="H2387" s="165">
        <f>G2387*E2387</f>
        <v>4000</v>
      </c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56"/>
    </row>
    <row r="2388" spans="1:22" x14ac:dyDescent="0.25">
      <c r="A2388" s="25">
        <v>2377</v>
      </c>
      <c r="B2388" s="23"/>
      <c r="C2388" s="14"/>
      <c r="D2388" s="23"/>
      <c r="E2388" s="84"/>
      <c r="F2388" s="23"/>
      <c r="G2388" s="165"/>
      <c r="H2388" s="165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56"/>
    </row>
    <row r="2389" spans="1:22" ht="30" x14ac:dyDescent="0.25">
      <c r="A2389" s="25">
        <v>2378</v>
      </c>
      <c r="B2389" s="86" t="s">
        <v>196</v>
      </c>
      <c r="C2389" s="87" t="s">
        <v>197</v>
      </c>
      <c r="D2389" s="86" t="s">
        <v>26</v>
      </c>
      <c r="E2389" s="86"/>
      <c r="F2389" s="86"/>
      <c r="G2389" s="161"/>
      <c r="H2389" s="162">
        <v>545000</v>
      </c>
      <c r="I2389" s="86" t="s">
        <v>52</v>
      </c>
      <c r="J2389" s="86"/>
      <c r="K2389" s="86"/>
      <c r="L2389" s="88">
        <v>1</v>
      </c>
      <c r="M2389" s="86"/>
      <c r="N2389" s="86"/>
      <c r="O2389" s="86"/>
      <c r="P2389" s="86"/>
      <c r="Q2389" s="86"/>
      <c r="R2389" s="88">
        <v>1</v>
      </c>
      <c r="S2389" s="86"/>
      <c r="T2389" s="86"/>
      <c r="U2389" s="86"/>
      <c r="V2389" s="56"/>
    </row>
    <row r="2390" spans="1:22" ht="30" x14ac:dyDescent="0.25">
      <c r="A2390" s="25">
        <v>2379</v>
      </c>
      <c r="B2390" s="89" t="s">
        <v>196</v>
      </c>
      <c r="C2390" s="90" t="s">
        <v>177</v>
      </c>
      <c r="D2390" s="89" t="s">
        <v>27</v>
      </c>
      <c r="E2390" s="89"/>
      <c r="F2390" s="89"/>
      <c r="G2390" s="163"/>
      <c r="H2390" s="167">
        <v>400000</v>
      </c>
      <c r="I2390" s="89" t="s">
        <v>52</v>
      </c>
      <c r="J2390" s="60"/>
      <c r="K2390" s="60"/>
      <c r="L2390" s="60"/>
      <c r="M2390" s="60"/>
      <c r="N2390" s="60"/>
      <c r="O2390" s="60"/>
      <c r="P2390" s="60"/>
      <c r="Q2390" s="60"/>
      <c r="R2390" s="60">
        <v>1</v>
      </c>
      <c r="S2390" s="60"/>
      <c r="T2390" s="60"/>
      <c r="U2390" s="60"/>
      <c r="V2390" s="56"/>
    </row>
    <row r="2391" spans="1:22" x14ac:dyDescent="0.25">
      <c r="A2391" s="25">
        <v>2380</v>
      </c>
      <c r="B2391" s="23"/>
      <c r="C2391" s="14" t="s">
        <v>198</v>
      </c>
      <c r="D2391" s="23"/>
      <c r="E2391" s="84">
        <v>40</v>
      </c>
      <c r="F2391" s="23" t="s">
        <v>37</v>
      </c>
      <c r="G2391" s="165">
        <v>10000</v>
      </c>
      <c r="H2391" s="165">
        <f>G2391*E2391</f>
        <v>400000</v>
      </c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56"/>
    </row>
    <row r="2392" spans="1:22" x14ac:dyDescent="0.25">
      <c r="A2392" s="25">
        <v>2381</v>
      </c>
      <c r="B2392" s="23"/>
      <c r="C2392" s="14"/>
      <c r="D2392" s="23"/>
      <c r="E2392" s="84"/>
      <c r="F2392" s="23"/>
      <c r="G2392" s="165"/>
      <c r="H2392" s="165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56"/>
    </row>
    <row r="2393" spans="1:22" ht="30" x14ac:dyDescent="0.25">
      <c r="A2393" s="25">
        <v>2382</v>
      </c>
      <c r="B2393" s="89" t="s">
        <v>196</v>
      </c>
      <c r="C2393" s="90" t="s">
        <v>199</v>
      </c>
      <c r="D2393" s="89" t="s">
        <v>27</v>
      </c>
      <c r="E2393" s="89"/>
      <c r="F2393" s="89"/>
      <c r="G2393" s="163"/>
      <c r="H2393" s="167">
        <v>145000</v>
      </c>
      <c r="I2393" s="89" t="s">
        <v>52</v>
      </c>
      <c r="J2393" s="60"/>
      <c r="K2393" s="60"/>
      <c r="L2393" s="60">
        <v>1</v>
      </c>
      <c r="M2393" s="60"/>
      <c r="N2393" s="60"/>
      <c r="O2393" s="60"/>
      <c r="P2393" s="60"/>
      <c r="Q2393" s="60"/>
      <c r="R2393" s="60"/>
      <c r="S2393" s="60"/>
      <c r="T2393" s="60"/>
      <c r="U2393" s="60"/>
      <c r="V2393" s="56"/>
    </row>
    <row r="2394" spans="1:22" x14ac:dyDescent="0.25">
      <c r="A2394" s="25">
        <v>2383</v>
      </c>
      <c r="B2394" s="23"/>
      <c r="C2394" s="14" t="s">
        <v>1190</v>
      </c>
      <c r="D2394" s="23"/>
      <c r="E2394" s="23">
        <v>1</v>
      </c>
      <c r="F2394" s="23" t="s">
        <v>37</v>
      </c>
      <c r="G2394" s="46">
        <v>50000</v>
      </c>
      <c r="H2394" s="165">
        <f t="shared" ref="H2394:H2399" si="159">G2394*E2394</f>
        <v>50000</v>
      </c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56"/>
    </row>
    <row r="2395" spans="1:22" x14ac:dyDescent="0.25">
      <c r="A2395" s="25">
        <v>2384</v>
      </c>
      <c r="B2395" s="23"/>
      <c r="C2395" s="16" t="s">
        <v>1191</v>
      </c>
      <c r="D2395" s="23"/>
      <c r="E2395" s="25">
        <v>1</v>
      </c>
      <c r="F2395" s="23" t="s">
        <v>37</v>
      </c>
      <c r="G2395" s="46">
        <v>30000</v>
      </c>
      <c r="H2395" s="165">
        <f t="shared" si="159"/>
        <v>30000</v>
      </c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56"/>
    </row>
    <row r="2396" spans="1:22" x14ac:dyDescent="0.25">
      <c r="A2396" s="25">
        <v>2385</v>
      </c>
      <c r="B2396" s="23"/>
      <c r="C2396" s="16" t="s">
        <v>1192</v>
      </c>
      <c r="D2396" s="23"/>
      <c r="E2396" s="25">
        <v>1</v>
      </c>
      <c r="F2396" s="23" t="s">
        <v>37</v>
      </c>
      <c r="G2396" s="46">
        <v>25000</v>
      </c>
      <c r="H2396" s="165">
        <f t="shared" si="159"/>
        <v>25000</v>
      </c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56"/>
    </row>
    <row r="2397" spans="1:22" x14ac:dyDescent="0.25">
      <c r="A2397" s="25">
        <v>2386</v>
      </c>
      <c r="B2397" s="23"/>
      <c r="C2397" s="16" t="s">
        <v>1193</v>
      </c>
      <c r="D2397" s="23"/>
      <c r="E2397" s="25">
        <v>1</v>
      </c>
      <c r="F2397" s="23" t="s">
        <v>37</v>
      </c>
      <c r="G2397" s="46">
        <v>15000</v>
      </c>
      <c r="H2397" s="165">
        <f t="shared" si="159"/>
        <v>15000</v>
      </c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56"/>
    </row>
    <row r="2398" spans="1:22" x14ac:dyDescent="0.25">
      <c r="A2398" s="25">
        <v>2387</v>
      </c>
      <c r="B2398" s="23"/>
      <c r="C2398" s="16" t="s">
        <v>1194</v>
      </c>
      <c r="D2398" s="23"/>
      <c r="E2398" s="25">
        <v>1</v>
      </c>
      <c r="F2398" s="23" t="s">
        <v>37</v>
      </c>
      <c r="G2398" s="46">
        <v>15000</v>
      </c>
      <c r="H2398" s="165">
        <f t="shared" si="159"/>
        <v>15000</v>
      </c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56"/>
    </row>
    <row r="2399" spans="1:22" x14ac:dyDescent="0.25">
      <c r="A2399" s="25">
        <v>2388</v>
      </c>
      <c r="B2399" s="23"/>
      <c r="C2399" s="16" t="s">
        <v>1195</v>
      </c>
      <c r="D2399" s="23"/>
      <c r="E2399" s="25">
        <v>1</v>
      </c>
      <c r="F2399" s="23" t="s">
        <v>37</v>
      </c>
      <c r="G2399" s="46">
        <v>10000</v>
      </c>
      <c r="H2399" s="165">
        <f t="shared" si="159"/>
        <v>10000</v>
      </c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56"/>
    </row>
    <row r="2400" spans="1:22" x14ac:dyDescent="0.25">
      <c r="A2400" s="25">
        <v>2389</v>
      </c>
      <c r="B2400" s="23"/>
      <c r="C2400" s="14"/>
      <c r="D2400" s="23"/>
      <c r="E2400" s="84"/>
      <c r="F2400" s="23"/>
      <c r="G2400" s="165"/>
      <c r="H2400" s="165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56"/>
    </row>
    <row r="2401" spans="1:22" ht="30" x14ac:dyDescent="0.25">
      <c r="A2401" s="25">
        <v>2390</v>
      </c>
      <c r="B2401" s="86" t="s">
        <v>200</v>
      </c>
      <c r="C2401" s="87" t="s">
        <v>201</v>
      </c>
      <c r="D2401" s="86" t="s">
        <v>26</v>
      </c>
      <c r="E2401" s="86"/>
      <c r="F2401" s="86"/>
      <c r="G2401" s="161"/>
      <c r="H2401" s="162">
        <v>40000</v>
      </c>
      <c r="I2401" s="86" t="s">
        <v>52</v>
      </c>
      <c r="J2401" s="86"/>
      <c r="K2401" s="86"/>
      <c r="L2401" s="88">
        <v>1</v>
      </c>
      <c r="M2401" s="86"/>
      <c r="N2401" s="86"/>
      <c r="O2401" s="86"/>
      <c r="P2401" s="86"/>
      <c r="Q2401" s="86"/>
      <c r="R2401" s="86"/>
      <c r="S2401" s="86"/>
      <c r="T2401" s="86"/>
      <c r="U2401" s="86"/>
      <c r="V2401" s="56"/>
    </row>
    <row r="2402" spans="1:22" ht="26.25" customHeight="1" x14ac:dyDescent="0.25">
      <c r="A2402" s="25">
        <v>2391</v>
      </c>
      <c r="B2402" s="89" t="s">
        <v>200</v>
      </c>
      <c r="C2402" s="90" t="s">
        <v>150</v>
      </c>
      <c r="D2402" s="89" t="s">
        <v>27</v>
      </c>
      <c r="E2402" s="89"/>
      <c r="F2402" s="89"/>
      <c r="G2402" s="163"/>
      <c r="H2402" s="167">
        <v>40000</v>
      </c>
      <c r="I2402" s="89" t="s">
        <v>52</v>
      </c>
      <c r="J2402" s="60"/>
      <c r="K2402" s="60"/>
      <c r="L2402" s="60">
        <v>1</v>
      </c>
      <c r="M2402" s="60"/>
      <c r="N2402" s="60"/>
      <c r="O2402" s="60"/>
      <c r="P2402" s="60"/>
      <c r="Q2402" s="60"/>
      <c r="R2402" s="60"/>
      <c r="S2402" s="60"/>
      <c r="T2402" s="60"/>
      <c r="U2402" s="60"/>
      <c r="V2402" s="56"/>
    </row>
    <row r="2403" spans="1:22" x14ac:dyDescent="0.25">
      <c r="A2403" s="25">
        <v>2392</v>
      </c>
      <c r="B2403" s="23"/>
      <c r="C2403" s="63" t="s">
        <v>1196</v>
      </c>
      <c r="D2403" s="23"/>
      <c r="E2403" s="64">
        <v>1</v>
      </c>
      <c r="F2403" s="64" t="s">
        <v>37</v>
      </c>
      <c r="G2403" s="168">
        <v>5000</v>
      </c>
      <c r="H2403" s="165">
        <f t="shared" ref="H2403:H2408" si="160">G2403*E2403</f>
        <v>5000</v>
      </c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56"/>
    </row>
    <row r="2404" spans="1:22" x14ac:dyDescent="0.25">
      <c r="A2404" s="25">
        <v>2393</v>
      </c>
      <c r="B2404" s="23"/>
      <c r="C2404" s="63" t="s">
        <v>1197</v>
      </c>
      <c r="D2404" s="23"/>
      <c r="E2404" s="64">
        <v>3</v>
      </c>
      <c r="F2404" s="64" t="s">
        <v>37</v>
      </c>
      <c r="G2404" s="168">
        <v>2000</v>
      </c>
      <c r="H2404" s="165">
        <f t="shared" si="160"/>
        <v>6000</v>
      </c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56"/>
    </row>
    <row r="2405" spans="1:22" x14ac:dyDescent="0.25">
      <c r="A2405" s="25">
        <v>2394</v>
      </c>
      <c r="B2405" s="23"/>
      <c r="C2405" s="14" t="s">
        <v>1198</v>
      </c>
      <c r="D2405" s="23"/>
      <c r="E2405" s="23">
        <v>1</v>
      </c>
      <c r="F2405" s="23" t="s">
        <v>1202</v>
      </c>
      <c r="G2405" s="46">
        <v>10000</v>
      </c>
      <c r="H2405" s="165">
        <f t="shared" si="160"/>
        <v>10000</v>
      </c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56"/>
    </row>
    <row r="2406" spans="1:22" x14ac:dyDescent="0.25">
      <c r="A2406" s="25">
        <v>2395</v>
      </c>
      <c r="B2406" s="23"/>
      <c r="C2406" s="63" t="s">
        <v>1199</v>
      </c>
      <c r="D2406" s="23"/>
      <c r="E2406" s="64">
        <v>1</v>
      </c>
      <c r="F2406" s="64" t="s">
        <v>1202</v>
      </c>
      <c r="G2406" s="168">
        <v>8000</v>
      </c>
      <c r="H2406" s="165">
        <f t="shared" si="160"/>
        <v>8000</v>
      </c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56"/>
    </row>
    <row r="2407" spans="1:22" x14ac:dyDescent="0.25">
      <c r="A2407" s="25">
        <v>2396</v>
      </c>
      <c r="B2407" s="23"/>
      <c r="C2407" s="63" t="s">
        <v>1200</v>
      </c>
      <c r="D2407" s="23"/>
      <c r="E2407" s="64">
        <v>1</v>
      </c>
      <c r="F2407" s="64" t="s">
        <v>1202</v>
      </c>
      <c r="G2407" s="168">
        <v>6000</v>
      </c>
      <c r="H2407" s="165">
        <f t="shared" si="160"/>
        <v>6000</v>
      </c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56"/>
    </row>
    <row r="2408" spans="1:22" x14ac:dyDescent="0.25">
      <c r="A2408" s="25">
        <v>2397</v>
      </c>
      <c r="B2408" s="23"/>
      <c r="C2408" s="14" t="s">
        <v>1201</v>
      </c>
      <c r="D2408" s="23"/>
      <c r="E2408" s="23">
        <v>1</v>
      </c>
      <c r="F2408" s="23" t="s">
        <v>1202</v>
      </c>
      <c r="G2408" s="46">
        <v>5000</v>
      </c>
      <c r="H2408" s="165">
        <f t="shared" si="160"/>
        <v>5000</v>
      </c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56"/>
    </row>
    <row r="2409" spans="1:22" x14ac:dyDescent="0.25">
      <c r="A2409" s="25">
        <v>2398</v>
      </c>
      <c r="B2409" s="23"/>
      <c r="C2409" s="14"/>
      <c r="D2409" s="23"/>
      <c r="E2409" s="84"/>
      <c r="F2409" s="23"/>
      <c r="G2409" s="165"/>
      <c r="H2409" s="165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56"/>
    </row>
    <row r="2410" spans="1:22" ht="30" x14ac:dyDescent="0.25">
      <c r="A2410" s="25">
        <v>2399</v>
      </c>
      <c r="B2410" s="86" t="s">
        <v>202</v>
      </c>
      <c r="C2410" s="87" t="s">
        <v>203</v>
      </c>
      <c r="D2410" s="86" t="s">
        <v>26</v>
      </c>
      <c r="E2410" s="86"/>
      <c r="F2410" s="86"/>
      <c r="G2410" s="161"/>
      <c r="H2410" s="162">
        <v>5840000</v>
      </c>
      <c r="I2410" s="86" t="s">
        <v>204</v>
      </c>
      <c r="J2410" s="88">
        <v>1</v>
      </c>
      <c r="K2410" s="88">
        <v>1</v>
      </c>
      <c r="L2410" s="88">
        <v>1</v>
      </c>
      <c r="M2410" s="88">
        <v>2</v>
      </c>
      <c r="N2410" s="88">
        <v>1</v>
      </c>
      <c r="O2410" s="88">
        <v>1</v>
      </c>
      <c r="P2410" s="88">
        <v>2</v>
      </c>
      <c r="Q2410" s="88">
        <v>1</v>
      </c>
      <c r="R2410" s="88">
        <v>1</v>
      </c>
      <c r="S2410" s="88">
        <v>1</v>
      </c>
      <c r="T2410" s="88">
        <v>1</v>
      </c>
      <c r="U2410" s="88">
        <v>1</v>
      </c>
      <c r="V2410" s="56"/>
    </row>
    <row r="2411" spans="1:22" ht="30" x14ac:dyDescent="0.25">
      <c r="A2411" s="25">
        <v>2400</v>
      </c>
      <c r="B2411" s="89" t="s">
        <v>202</v>
      </c>
      <c r="C2411" s="90" t="s">
        <v>205</v>
      </c>
      <c r="D2411" s="89" t="s">
        <v>27</v>
      </c>
      <c r="E2411" s="89"/>
      <c r="F2411" s="89"/>
      <c r="G2411" s="163"/>
      <c r="H2411" s="167">
        <v>2000000</v>
      </c>
      <c r="I2411" s="89" t="s">
        <v>204</v>
      </c>
      <c r="J2411" s="60"/>
      <c r="K2411" s="60"/>
      <c r="L2411" s="60"/>
      <c r="M2411" s="60">
        <v>1</v>
      </c>
      <c r="N2411" s="60"/>
      <c r="O2411" s="60"/>
      <c r="P2411" s="60">
        <v>1</v>
      </c>
      <c r="Q2411" s="60"/>
      <c r="R2411" s="60"/>
      <c r="S2411" s="60"/>
      <c r="T2411" s="60"/>
      <c r="U2411" s="60"/>
      <c r="V2411" s="56"/>
    </row>
    <row r="2412" spans="1:22" x14ac:dyDescent="0.25">
      <c r="A2412" s="25">
        <v>2401</v>
      </c>
      <c r="B2412" s="23"/>
      <c r="C2412" s="14" t="s">
        <v>205</v>
      </c>
      <c r="D2412" s="23"/>
      <c r="E2412" s="8">
        <v>80</v>
      </c>
      <c r="F2412" s="8" t="s">
        <v>37</v>
      </c>
      <c r="G2412" s="47">
        <v>25000</v>
      </c>
      <c r="H2412" s="165">
        <f>G2412*E2412</f>
        <v>2000000</v>
      </c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56"/>
    </row>
    <row r="2413" spans="1:22" x14ac:dyDescent="0.25">
      <c r="A2413" s="25">
        <v>2402</v>
      </c>
      <c r="B2413" s="23"/>
      <c r="C2413" s="14"/>
      <c r="D2413" s="23"/>
      <c r="E2413" s="84"/>
      <c r="F2413" s="23"/>
      <c r="G2413" s="165"/>
      <c r="H2413" s="165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56"/>
    </row>
    <row r="2414" spans="1:22" ht="30" x14ac:dyDescent="0.25">
      <c r="A2414" s="25">
        <v>2403</v>
      </c>
      <c r="B2414" s="89" t="s">
        <v>202</v>
      </c>
      <c r="C2414" s="90" t="s">
        <v>206</v>
      </c>
      <c r="D2414" s="89" t="s">
        <v>27</v>
      </c>
      <c r="E2414" s="89"/>
      <c r="F2414" s="89"/>
      <c r="G2414" s="163"/>
      <c r="H2414" s="167">
        <v>3840000</v>
      </c>
      <c r="I2414" s="89" t="s">
        <v>204</v>
      </c>
      <c r="J2414" s="60">
        <v>1</v>
      </c>
      <c r="K2414" s="60">
        <v>1</v>
      </c>
      <c r="L2414" s="60">
        <v>1</v>
      </c>
      <c r="M2414" s="60">
        <v>1</v>
      </c>
      <c r="N2414" s="60">
        <v>1</v>
      </c>
      <c r="O2414" s="60">
        <v>1</v>
      </c>
      <c r="P2414" s="60">
        <v>1</v>
      </c>
      <c r="Q2414" s="60">
        <v>1</v>
      </c>
      <c r="R2414" s="60">
        <v>1</v>
      </c>
      <c r="S2414" s="60">
        <v>1</v>
      </c>
      <c r="T2414" s="60">
        <v>1</v>
      </c>
      <c r="U2414" s="60">
        <v>1</v>
      </c>
      <c r="V2414" s="56"/>
    </row>
    <row r="2415" spans="1:22" x14ac:dyDescent="0.25">
      <c r="A2415" s="25">
        <v>2404</v>
      </c>
      <c r="B2415" s="23"/>
      <c r="C2415" s="14" t="s">
        <v>207</v>
      </c>
      <c r="D2415" s="23"/>
      <c r="E2415" s="84">
        <f>32*12</f>
        <v>384</v>
      </c>
      <c r="F2415" s="23" t="s">
        <v>37</v>
      </c>
      <c r="G2415" s="165">
        <v>10000</v>
      </c>
      <c r="H2415" s="165">
        <f>G2415*E2415</f>
        <v>3840000</v>
      </c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56"/>
    </row>
    <row r="2416" spans="1:22" x14ac:dyDescent="0.25">
      <c r="A2416" s="25">
        <v>2405</v>
      </c>
      <c r="B2416" s="23"/>
      <c r="C2416" s="14"/>
      <c r="D2416" s="23"/>
      <c r="E2416" s="84"/>
      <c r="F2416" s="23"/>
      <c r="G2416" s="165"/>
      <c r="H2416" s="165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56"/>
    </row>
    <row r="2417" spans="1:22" ht="30" x14ac:dyDescent="0.25">
      <c r="A2417" s="25">
        <v>2406</v>
      </c>
      <c r="B2417" s="86" t="s">
        <v>670</v>
      </c>
      <c r="C2417" s="87" t="s">
        <v>671</v>
      </c>
      <c r="D2417" s="86" t="s">
        <v>26</v>
      </c>
      <c r="E2417" s="86"/>
      <c r="F2417" s="86"/>
      <c r="G2417" s="161"/>
      <c r="H2417" s="162">
        <v>300000</v>
      </c>
      <c r="I2417" s="86" t="s">
        <v>210</v>
      </c>
      <c r="J2417" s="88">
        <v>1</v>
      </c>
      <c r="K2417" s="88">
        <v>1</v>
      </c>
      <c r="L2417" s="88">
        <v>1</v>
      </c>
      <c r="M2417" s="88">
        <v>1</v>
      </c>
      <c r="N2417" s="88">
        <v>1</v>
      </c>
      <c r="O2417" s="88">
        <v>1</v>
      </c>
      <c r="P2417" s="88">
        <v>1</v>
      </c>
      <c r="Q2417" s="88">
        <v>1</v>
      </c>
      <c r="R2417" s="88">
        <v>1</v>
      </c>
      <c r="S2417" s="88">
        <v>1</v>
      </c>
      <c r="T2417" s="88">
        <v>1</v>
      </c>
      <c r="U2417" s="88">
        <v>1</v>
      </c>
      <c r="V2417" s="56"/>
    </row>
    <row r="2418" spans="1:22" ht="30" x14ac:dyDescent="0.25">
      <c r="A2418" s="25">
        <v>2407</v>
      </c>
      <c r="B2418" s="89" t="s">
        <v>670</v>
      </c>
      <c r="C2418" s="90" t="s">
        <v>59</v>
      </c>
      <c r="D2418" s="89" t="s">
        <v>27</v>
      </c>
      <c r="E2418" s="89"/>
      <c r="F2418" s="89"/>
      <c r="G2418" s="163"/>
      <c r="H2418" s="167">
        <v>300000</v>
      </c>
      <c r="I2418" s="89" t="s">
        <v>210</v>
      </c>
      <c r="J2418" s="60">
        <v>1</v>
      </c>
      <c r="K2418" s="60">
        <v>1</v>
      </c>
      <c r="L2418" s="60">
        <v>1</v>
      </c>
      <c r="M2418" s="60">
        <v>1</v>
      </c>
      <c r="N2418" s="60">
        <v>1</v>
      </c>
      <c r="O2418" s="60">
        <v>1</v>
      </c>
      <c r="P2418" s="60">
        <v>1</v>
      </c>
      <c r="Q2418" s="60">
        <v>1</v>
      </c>
      <c r="R2418" s="60">
        <v>1</v>
      </c>
      <c r="S2418" s="60">
        <v>1</v>
      </c>
      <c r="T2418" s="60">
        <v>1</v>
      </c>
      <c r="U2418" s="60">
        <v>1</v>
      </c>
      <c r="V2418" s="56"/>
    </row>
    <row r="2419" spans="1:22" x14ac:dyDescent="0.25">
      <c r="A2419" s="25">
        <v>2408</v>
      </c>
      <c r="B2419" s="23"/>
      <c r="C2419" s="14" t="s">
        <v>672</v>
      </c>
      <c r="D2419" s="23"/>
      <c r="E2419" s="84">
        <v>12</v>
      </c>
      <c r="F2419" s="23" t="s">
        <v>673</v>
      </c>
      <c r="G2419" s="165">
        <v>25000</v>
      </c>
      <c r="H2419" s="165">
        <f>G2419*E2419</f>
        <v>300000</v>
      </c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56"/>
    </row>
    <row r="2420" spans="1:22" x14ac:dyDescent="0.25">
      <c r="A2420" s="25">
        <v>2409</v>
      </c>
      <c r="B2420" s="23"/>
      <c r="C2420" s="14"/>
      <c r="D2420" s="23"/>
      <c r="E2420" s="84"/>
      <c r="F2420" s="23"/>
      <c r="G2420" s="165"/>
      <c r="H2420" s="165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56"/>
    </row>
    <row r="2421" spans="1:22" ht="30" x14ac:dyDescent="0.25">
      <c r="A2421" s="25">
        <v>2410</v>
      </c>
      <c r="B2421" s="86" t="s">
        <v>208</v>
      </c>
      <c r="C2421" s="87" t="s">
        <v>209</v>
      </c>
      <c r="D2421" s="86" t="s">
        <v>26</v>
      </c>
      <c r="E2421" s="86"/>
      <c r="F2421" s="86"/>
      <c r="G2421" s="161"/>
      <c r="H2421" s="162">
        <v>798096</v>
      </c>
      <c r="I2421" s="86" t="s">
        <v>210</v>
      </c>
      <c r="J2421" s="88">
        <v>1</v>
      </c>
      <c r="K2421" s="88">
        <v>2</v>
      </c>
      <c r="L2421" s="88">
        <v>1</v>
      </c>
      <c r="M2421" s="88">
        <v>1</v>
      </c>
      <c r="N2421" s="88">
        <v>2</v>
      </c>
      <c r="O2421" s="88">
        <v>1</v>
      </c>
      <c r="P2421" s="88">
        <v>1</v>
      </c>
      <c r="Q2421" s="88">
        <v>2</v>
      </c>
      <c r="R2421" s="88">
        <v>1</v>
      </c>
      <c r="S2421" s="88">
        <v>1</v>
      </c>
      <c r="T2421" s="88">
        <v>2</v>
      </c>
      <c r="U2421" s="88">
        <v>1</v>
      </c>
      <c r="V2421" s="56"/>
    </row>
    <row r="2422" spans="1:22" ht="30" x14ac:dyDescent="0.25">
      <c r="A2422" s="25">
        <v>2411</v>
      </c>
      <c r="B2422" s="89" t="s">
        <v>208</v>
      </c>
      <c r="C2422" s="90" t="s">
        <v>211</v>
      </c>
      <c r="D2422" s="89" t="s">
        <v>27</v>
      </c>
      <c r="E2422" s="89"/>
      <c r="F2422" s="89"/>
      <c r="G2422" s="163"/>
      <c r="H2422" s="167">
        <v>498096</v>
      </c>
      <c r="I2422" s="89" t="s">
        <v>210</v>
      </c>
      <c r="J2422" s="60">
        <v>1</v>
      </c>
      <c r="K2422" s="60">
        <v>1</v>
      </c>
      <c r="L2422" s="60">
        <v>1</v>
      </c>
      <c r="M2422" s="60">
        <v>1</v>
      </c>
      <c r="N2422" s="60">
        <v>1</v>
      </c>
      <c r="O2422" s="60">
        <v>1</v>
      </c>
      <c r="P2422" s="60">
        <v>1</v>
      </c>
      <c r="Q2422" s="60">
        <v>1</v>
      </c>
      <c r="R2422" s="60">
        <v>1</v>
      </c>
      <c r="S2422" s="60">
        <v>1</v>
      </c>
      <c r="T2422" s="60">
        <v>1</v>
      </c>
      <c r="U2422" s="60">
        <v>1</v>
      </c>
      <c r="V2422" s="56"/>
    </row>
    <row r="2423" spans="1:22" x14ac:dyDescent="0.25">
      <c r="A2423" s="25">
        <v>2412</v>
      </c>
      <c r="B2423" s="23"/>
      <c r="C2423" s="14" t="s">
        <v>674</v>
      </c>
      <c r="D2423" s="23"/>
      <c r="E2423" s="84">
        <v>12</v>
      </c>
      <c r="F2423" s="23" t="s">
        <v>673</v>
      </c>
      <c r="G2423" s="165">
        <v>20754</v>
      </c>
      <c r="H2423" s="49">
        <f>G2423*E2423</f>
        <v>249048</v>
      </c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56"/>
    </row>
    <row r="2424" spans="1:22" x14ac:dyDescent="0.25">
      <c r="A2424" s="25">
        <v>2413</v>
      </c>
      <c r="B2424" s="23"/>
      <c r="C2424" s="14" t="s">
        <v>675</v>
      </c>
      <c r="D2424" s="23"/>
      <c r="E2424" s="84">
        <v>12</v>
      </c>
      <c r="F2424" s="23" t="s">
        <v>673</v>
      </c>
      <c r="G2424" s="165">
        <v>20754</v>
      </c>
      <c r="H2424" s="49">
        <f>G2424*E2424</f>
        <v>249048</v>
      </c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56"/>
    </row>
    <row r="2425" spans="1:22" x14ac:dyDescent="0.25">
      <c r="A2425" s="25">
        <v>2414</v>
      </c>
      <c r="B2425" s="23"/>
      <c r="C2425" s="14"/>
      <c r="D2425" s="23"/>
      <c r="E2425" s="84"/>
      <c r="F2425" s="23"/>
      <c r="G2425" s="165"/>
      <c r="H2425" s="165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56"/>
    </row>
    <row r="2426" spans="1:22" ht="30" x14ac:dyDescent="0.25">
      <c r="A2426" s="25">
        <v>2415</v>
      </c>
      <c r="B2426" s="89" t="s">
        <v>208</v>
      </c>
      <c r="C2426" s="90" t="s">
        <v>81</v>
      </c>
      <c r="D2426" s="89" t="s">
        <v>27</v>
      </c>
      <c r="E2426" s="89"/>
      <c r="F2426" s="89"/>
      <c r="G2426" s="163"/>
      <c r="H2426" s="167">
        <v>300000</v>
      </c>
      <c r="I2426" s="89" t="s">
        <v>210</v>
      </c>
      <c r="J2426" s="60"/>
      <c r="K2426" s="60">
        <v>1</v>
      </c>
      <c r="L2426" s="60"/>
      <c r="M2426" s="60"/>
      <c r="N2426" s="60">
        <v>1</v>
      </c>
      <c r="O2426" s="60"/>
      <c r="P2426" s="60"/>
      <c r="Q2426" s="60">
        <v>1</v>
      </c>
      <c r="R2426" s="60"/>
      <c r="S2426" s="60"/>
      <c r="T2426" s="60">
        <v>1</v>
      </c>
      <c r="U2426" s="60"/>
      <c r="V2426" s="56"/>
    </row>
    <row r="2427" spans="1:22" x14ac:dyDescent="0.25">
      <c r="A2427" s="25">
        <v>2416</v>
      </c>
      <c r="B2427" s="23"/>
      <c r="C2427" s="14" t="s">
        <v>676</v>
      </c>
      <c r="D2427" s="23"/>
      <c r="E2427" s="84">
        <v>12</v>
      </c>
      <c r="F2427" s="23" t="s">
        <v>673</v>
      </c>
      <c r="G2427" s="165">
        <v>25000</v>
      </c>
      <c r="H2427" s="165">
        <f>G2427*E2427</f>
        <v>300000</v>
      </c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56"/>
    </row>
    <row r="2428" spans="1:22" x14ac:dyDescent="0.25">
      <c r="A2428" s="25">
        <v>2417</v>
      </c>
      <c r="B2428" s="23"/>
      <c r="C2428" s="14"/>
      <c r="D2428" s="23"/>
      <c r="E2428" s="84"/>
      <c r="F2428" s="23"/>
      <c r="G2428" s="165"/>
      <c r="H2428" s="165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56"/>
    </row>
    <row r="2429" spans="1:22" ht="30" x14ac:dyDescent="0.25">
      <c r="A2429" s="25">
        <v>2418</v>
      </c>
      <c r="B2429" s="86" t="s">
        <v>212</v>
      </c>
      <c r="C2429" s="87" t="s">
        <v>213</v>
      </c>
      <c r="D2429" s="86" t="s">
        <v>26</v>
      </c>
      <c r="E2429" s="86"/>
      <c r="F2429" s="86"/>
      <c r="G2429" s="161"/>
      <c r="H2429" s="162">
        <v>25810000</v>
      </c>
      <c r="I2429" s="86" t="s">
        <v>204</v>
      </c>
      <c r="J2429" s="88">
        <v>3</v>
      </c>
      <c r="K2429" s="88">
        <v>3</v>
      </c>
      <c r="L2429" s="88">
        <v>3</v>
      </c>
      <c r="M2429" s="88">
        <v>3</v>
      </c>
      <c r="N2429" s="88">
        <v>3</v>
      </c>
      <c r="O2429" s="88">
        <v>3</v>
      </c>
      <c r="P2429" s="88">
        <v>4</v>
      </c>
      <c r="Q2429" s="88">
        <v>3</v>
      </c>
      <c r="R2429" s="88">
        <v>3</v>
      </c>
      <c r="S2429" s="88">
        <v>4</v>
      </c>
      <c r="T2429" s="88">
        <v>3</v>
      </c>
      <c r="U2429" s="88">
        <v>3</v>
      </c>
      <c r="V2429" s="56"/>
    </row>
    <row r="2430" spans="1:22" ht="30" x14ac:dyDescent="0.25">
      <c r="A2430" s="25">
        <v>2419</v>
      </c>
      <c r="B2430" s="89" t="s">
        <v>212</v>
      </c>
      <c r="C2430" s="90" t="s">
        <v>214</v>
      </c>
      <c r="D2430" s="89" t="s">
        <v>27</v>
      </c>
      <c r="E2430" s="89"/>
      <c r="F2430" s="89"/>
      <c r="G2430" s="163"/>
      <c r="H2430" s="167">
        <v>25680000</v>
      </c>
      <c r="I2430" s="89" t="s">
        <v>204</v>
      </c>
      <c r="J2430" s="60">
        <v>3</v>
      </c>
      <c r="K2430" s="60">
        <v>3</v>
      </c>
      <c r="L2430" s="60">
        <v>3</v>
      </c>
      <c r="M2430" s="60">
        <v>3</v>
      </c>
      <c r="N2430" s="60">
        <v>3</v>
      </c>
      <c r="O2430" s="60">
        <v>3</v>
      </c>
      <c r="P2430" s="60">
        <v>3</v>
      </c>
      <c r="Q2430" s="60">
        <v>3</v>
      </c>
      <c r="R2430" s="60">
        <v>3</v>
      </c>
      <c r="S2430" s="60">
        <v>3</v>
      </c>
      <c r="T2430" s="60">
        <v>3</v>
      </c>
      <c r="U2430" s="60">
        <v>3</v>
      </c>
      <c r="V2430" s="56"/>
    </row>
    <row r="2431" spans="1:22" ht="28.5" x14ac:dyDescent="0.25">
      <c r="A2431" s="25">
        <v>2420</v>
      </c>
      <c r="B2431" s="23"/>
      <c r="C2431" s="14" t="s">
        <v>215</v>
      </c>
      <c r="D2431" s="23"/>
      <c r="E2431" s="84">
        <f>214*12</f>
        <v>2568</v>
      </c>
      <c r="F2431" s="23" t="s">
        <v>28</v>
      </c>
      <c r="G2431" s="165">
        <v>10000</v>
      </c>
      <c r="H2431" s="165">
        <f>G2431*E2431</f>
        <v>25680000</v>
      </c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56"/>
    </row>
    <row r="2432" spans="1:22" x14ac:dyDescent="0.25">
      <c r="A2432" s="25">
        <v>2421</v>
      </c>
      <c r="B2432" s="23"/>
      <c r="C2432" s="14"/>
      <c r="D2432" s="23"/>
      <c r="E2432" s="84"/>
      <c r="F2432" s="23"/>
      <c r="G2432" s="165"/>
      <c r="H2432" s="165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56"/>
    </row>
    <row r="2433" spans="1:22" ht="30" x14ac:dyDescent="0.25">
      <c r="A2433" s="25">
        <v>2422</v>
      </c>
      <c r="B2433" s="89" t="s">
        <v>212</v>
      </c>
      <c r="C2433" s="90" t="s">
        <v>96</v>
      </c>
      <c r="D2433" s="89" t="s">
        <v>27</v>
      </c>
      <c r="E2433" s="89"/>
      <c r="F2433" s="89"/>
      <c r="G2433" s="163"/>
      <c r="H2433" s="190">
        <v>130000</v>
      </c>
      <c r="I2433" s="89" t="s">
        <v>204</v>
      </c>
      <c r="J2433" s="60"/>
      <c r="K2433" s="60"/>
      <c r="L2433" s="60"/>
      <c r="M2433" s="60"/>
      <c r="N2433" s="60"/>
      <c r="O2433" s="60"/>
      <c r="P2433" s="60">
        <v>1</v>
      </c>
      <c r="Q2433" s="60"/>
      <c r="R2433" s="60"/>
      <c r="S2433" s="60">
        <v>1</v>
      </c>
      <c r="T2433" s="60"/>
      <c r="U2433" s="60"/>
      <c r="V2433" s="56"/>
    </row>
    <row r="2434" spans="1:22" x14ac:dyDescent="0.25">
      <c r="A2434" s="25">
        <v>2423</v>
      </c>
      <c r="B2434" s="23"/>
      <c r="C2434" s="9" t="s">
        <v>875</v>
      </c>
      <c r="D2434" s="8"/>
      <c r="E2434" s="8">
        <v>1</v>
      </c>
      <c r="F2434" s="23" t="s">
        <v>37</v>
      </c>
      <c r="G2434" s="97">
        <v>130000</v>
      </c>
      <c r="H2434" s="165">
        <f>G2434*E2434</f>
        <v>130000</v>
      </c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56"/>
    </row>
    <row r="2435" spans="1:22" x14ac:dyDescent="0.25">
      <c r="A2435" s="25">
        <v>2424</v>
      </c>
      <c r="B2435" s="23"/>
      <c r="C2435" s="14"/>
      <c r="D2435" s="23"/>
      <c r="E2435" s="84"/>
      <c r="F2435" s="23"/>
      <c r="G2435" s="165"/>
      <c r="H2435" s="165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56"/>
    </row>
    <row r="2436" spans="1:22" ht="30" x14ac:dyDescent="0.25">
      <c r="A2436" s="25">
        <v>2425</v>
      </c>
      <c r="B2436" s="86" t="s">
        <v>216</v>
      </c>
      <c r="C2436" s="87" t="s">
        <v>217</v>
      </c>
      <c r="D2436" s="86" t="s">
        <v>26</v>
      </c>
      <c r="E2436" s="86"/>
      <c r="F2436" s="86"/>
      <c r="G2436" s="161"/>
      <c r="H2436" s="162">
        <v>1000000</v>
      </c>
      <c r="I2436" s="86" t="s">
        <v>52</v>
      </c>
      <c r="J2436" s="86"/>
      <c r="K2436" s="86"/>
      <c r="L2436" s="86"/>
      <c r="M2436" s="88">
        <v>1</v>
      </c>
      <c r="N2436" s="86"/>
      <c r="O2436" s="86"/>
      <c r="P2436" s="88">
        <v>1</v>
      </c>
      <c r="Q2436" s="86"/>
      <c r="R2436" s="86"/>
      <c r="S2436" s="86"/>
      <c r="T2436" s="86"/>
      <c r="U2436" s="86"/>
      <c r="V2436" s="56"/>
    </row>
    <row r="2437" spans="1:22" ht="30" x14ac:dyDescent="0.25">
      <c r="A2437" s="25">
        <v>2426</v>
      </c>
      <c r="B2437" s="89" t="s">
        <v>216</v>
      </c>
      <c r="C2437" s="90" t="s">
        <v>218</v>
      </c>
      <c r="D2437" s="89" t="s">
        <v>27</v>
      </c>
      <c r="E2437" s="89"/>
      <c r="F2437" s="89"/>
      <c r="G2437" s="163"/>
      <c r="H2437" s="167">
        <v>1000000</v>
      </c>
      <c r="I2437" s="89" t="s">
        <v>52</v>
      </c>
      <c r="J2437" s="60"/>
      <c r="K2437" s="60"/>
      <c r="L2437" s="60"/>
      <c r="M2437" s="60">
        <v>1</v>
      </c>
      <c r="N2437" s="60"/>
      <c r="O2437" s="60"/>
      <c r="P2437" s="60">
        <v>1</v>
      </c>
      <c r="Q2437" s="60"/>
      <c r="R2437" s="60"/>
      <c r="S2437" s="60"/>
      <c r="T2437" s="60"/>
      <c r="U2437" s="60"/>
      <c r="V2437" s="56"/>
    </row>
    <row r="2438" spans="1:22" ht="15.75" customHeight="1" x14ac:dyDescent="0.25">
      <c r="A2438" s="25">
        <v>2427</v>
      </c>
      <c r="B2438" s="23"/>
      <c r="C2438" s="14" t="s">
        <v>1207</v>
      </c>
      <c r="D2438" s="23"/>
      <c r="E2438" s="23">
        <v>2</v>
      </c>
      <c r="F2438" s="23" t="s">
        <v>407</v>
      </c>
      <c r="G2438" s="101">
        <v>48600</v>
      </c>
      <c r="H2438" s="165">
        <f>G2438*E2438</f>
        <v>97200</v>
      </c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56"/>
    </row>
    <row r="2439" spans="1:22" x14ac:dyDescent="0.25">
      <c r="A2439" s="25">
        <v>2428</v>
      </c>
      <c r="B2439" s="23"/>
      <c r="C2439" s="14" t="s">
        <v>1208</v>
      </c>
      <c r="D2439" s="23"/>
      <c r="E2439" s="23">
        <v>2</v>
      </c>
      <c r="F2439" s="23" t="s">
        <v>407</v>
      </c>
      <c r="G2439" s="101">
        <v>7000</v>
      </c>
      <c r="H2439" s="165">
        <f t="shared" ref="H2439:H2457" si="161">G2439*E2439</f>
        <v>14000</v>
      </c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56"/>
    </row>
    <row r="2440" spans="1:22" x14ac:dyDescent="0.25">
      <c r="A2440" s="25">
        <v>2429</v>
      </c>
      <c r="B2440" s="23"/>
      <c r="C2440" s="14" t="s">
        <v>1209</v>
      </c>
      <c r="D2440" s="23"/>
      <c r="E2440" s="23">
        <v>2</v>
      </c>
      <c r="F2440" s="23" t="s">
        <v>407</v>
      </c>
      <c r="G2440" s="101">
        <v>15000</v>
      </c>
      <c r="H2440" s="165">
        <f t="shared" si="161"/>
        <v>30000</v>
      </c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56"/>
    </row>
    <row r="2441" spans="1:22" x14ac:dyDescent="0.25">
      <c r="A2441" s="25">
        <v>2430</v>
      </c>
      <c r="B2441" s="23"/>
      <c r="C2441" s="14" t="s">
        <v>1210</v>
      </c>
      <c r="D2441" s="23"/>
      <c r="E2441" s="23">
        <v>2</v>
      </c>
      <c r="F2441" s="23" t="s">
        <v>407</v>
      </c>
      <c r="G2441" s="101">
        <v>2530</v>
      </c>
      <c r="H2441" s="165">
        <f t="shared" si="161"/>
        <v>5060</v>
      </c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56"/>
    </row>
    <row r="2442" spans="1:22" x14ac:dyDescent="0.25">
      <c r="A2442" s="25">
        <v>2431</v>
      </c>
      <c r="B2442" s="23"/>
      <c r="C2442" s="14" t="s">
        <v>1211</v>
      </c>
      <c r="D2442" s="23"/>
      <c r="E2442" s="23">
        <v>2</v>
      </c>
      <c r="F2442" s="23" t="s">
        <v>407</v>
      </c>
      <c r="G2442" s="101">
        <v>4500</v>
      </c>
      <c r="H2442" s="165">
        <f t="shared" si="161"/>
        <v>9000</v>
      </c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56"/>
    </row>
    <row r="2443" spans="1:22" x14ac:dyDescent="0.25">
      <c r="A2443" s="25">
        <v>2432</v>
      </c>
      <c r="B2443" s="23"/>
      <c r="C2443" s="14" t="s">
        <v>1212</v>
      </c>
      <c r="D2443" s="23"/>
      <c r="E2443" s="23">
        <v>2</v>
      </c>
      <c r="F2443" s="23" t="s">
        <v>407</v>
      </c>
      <c r="G2443" s="101">
        <v>8300</v>
      </c>
      <c r="H2443" s="165">
        <f t="shared" si="161"/>
        <v>16600</v>
      </c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56"/>
    </row>
    <row r="2444" spans="1:22" x14ac:dyDescent="0.25">
      <c r="A2444" s="25">
        <v>2433</v>
      </c>
      <c r="B2444" s="23"/>
      <c r="C2444" s="14" t="s">
        <v>1213</v>
      </c>
      <c r="D2444" s="23"/>
      <c r="E2444" s="23">
        <v>2</v>
      </c>
      <c r="F2444" s="23" t="s">
        <v>407</v>
      </c>
      <c r="G2444" s="101">
        <v>30000</v>
      </c>
      <c r="H2444" s="165">
        <f t="shared" si="161"/>
        <v>60000</v>
      </c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56"/>
    </row>
    <row r="2445" spans="1:22" x14ac:dyDescent="0.25">
      <c r="A2445" s="25">
        <v>2434</v>
      </c>
      <c r="B2445" s="23"/>
      <c r="C2445" s="14" t="s">
        <v>1214</v>
      </c>
      <c r="D2445" s="23"/>
      <c r="E2445" s="23">
        <v>2</v>
      </c>
      <c r="F2445" s="23" t="s">
        <v>407</v>
      </c>
      <c r="G2445" s="101">
        <v>25000</v>
      </c>
      <c r="H2445" s="165">
        <f t="shared" si="161"/>
        <v>50000</v>
      </c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56"/>
    </row>
    <row r="2446" spans="1:22" x14ac:dyDescent="0.25">
      <c r="A2446" s="25">
        <v>2435</v>
      </c>
      <c r="B2446" s="23"/>
      <c r="C2446" s="14" t="s">
        <v>1215</v>
      </c>
      <c r="D2446" s="23"/>
      <c r="E2446" s="23">
        <v>2</v>
      </c>
      <c r="F2446" s="23" t="s">
        <v>407</v>
      </c>
      <c r="G2446" s="101">
        <v>2000</v>
      </c>
      <c r="H2446" s="165">
        <f t="shared" si="161"/>
        <v>4000</v>
      </c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56"/>
    </row>
    <row r="2447" spans="1:22" x14ac:dyDescent="0.25">
      <c r="A2447" s="25">
        <v>2436</v>
      </c>
      <c r="B2447" s="23"/>
      <c r="C2447" s="14" t="s">
        <v>1216</v>
      </c>
      <c r="D2447" s="23"/>
      <c r="E2447" s="23">
        <v>2</v>
      </c>
      <c r="F2447" s="23" t="s">
        <v>407</v>
      </c>
      <c r="G2447" s="101">
        <v>6100</v>
      </c>
      <c r="H2447" s="165">
        <f t="shared" si="161"/>
        <v>12200</v>
      </c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56"/>
    </row>
    <row r="2448" spans="1:22" x14ac:dyDescent="0.25">
      <c r="A2448" s="25">
        <v>2437</v>
      </c>
      <c r="B2448" s="23"/>
      <c r="C2448" s="14" t="s">
        <v>1217</v>
      </c>
      <c r="D2448" s="23"/>
      <c r="E2448" s="23">
        <v>2</v>
      </c>
      <c r="F2448" s="23" t="s">
        <v>407</v>
      </c>
      <c r="G2448" s="101">
        <v>34000</v>
      </c>
      <c r="H2448" s="165">
        <f t="shared" si="161"/>
        <v>68000</v>
      </c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56"/>
    </row>
    <row r="2449" spans="1:22" x14ac:dyDescent="0.25">
      <c r="A2449" s="25">
        <v>2438</v>
      </c>
      <c r="B2449" s="23"/>
      <c r="C2449" s="14" t="s">
        <v>1218</v>
      </c>
      <c r="D2449" s="23"/>
      <c r="E2449" s="23">
        <v>2</v>
      </c>
      <c r="F2449" s="23" t="s">
        <v>407</v>
      </c>
      <c r="G2449" s="101">
        <v>12000</v>
      </c>
      <c r="H2449" s="165">
        <f t="shared" si="161"/>
        <v>24000</v>
      </c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56"/>
    </row>
    <row r="2450" spans="1:22" x14ac:dyDescent="0.25">
      <c r="A2450" s="25">
        <v>2439</v>
      </c>
      <c r="B2450" s="23"/>
      <c r="C2450" s="14" t="s">
        <v>1219</v>
      </c>
      <c r="D2450" s="23"/>
      <c r="E2450" s="23">
        <v>2</v>
      </c>
      <c r="F2450" s="23" t="s">
        <v>407</v>
      </c>
      <c r="G2450" s="101">
        <v>6530</v>
      </c>
      <c r="H2450" s="165">
        <f t="shared" si="161"/>
        <v>13060</v>
      </c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56"/>
    </row>
    <row r="2451" spans="1:22" x14ac:dyDescent="0.25">
      <c r="A2451" s="25">
        <v>2440</v>
      </c>
      <c r="B2451" s="23"/>
      <c r="C2451" s="14" t="s">
        <v>1220</v>
      </c>
      <c r="D2451" s="23"/>
      <c r="E2451" s="23">
        <v>2</v>
      </c>
      <c r="F2451" s="23" t="s">
        <v>407</v>
      </c>
      <c r="G2451" s="101">
        <v>15500</v>
      </c>
      <c r="H2451" s="165">
        <f t="shared" si="161"/>
        <v>31000</v>
      </c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56"/>
    </row>
    <row r="2452" spans="1:22" x14ac:dyDescent="0.25">
      <c r="A2452" s="25">
        <v>2441</v>
      </c>
      <c r="B2452" s="23"/>
      <c r="C2452" s="14" t="s">
        <v>1221</v>
      </c>
      <c r="D2452" s="23"/>
      <c r="E2452" s="23">
        <v>2</v>
      </c>
      <c r="F2452" s="23" t="s">
        <v>407</v>
      </c>
      <c r="G2452" s="101">
        <v>47500</v>
      </c>
      <c r="H2452" s="165">
        <f t="shared" si="161"/>
        <v>95000</v>
      </c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56"/>
    </row>
    <row r="2453" spans="1:22" x14ac:dyDescent="0.25">
      <c r="A2453" s="25">
        <v>2442</v>
      </c>
      <c r="B2453" s="23"/>
      <c r="C2453" s="14" t="s">
        <v>1222</v>
      </c>
      <c r="D2453" s="23"/>
      <c r="E2453" s="23">
        <v>2</v>
      </c>
      <c r="F2453" s="23" t="s">
        <v>407</v>
      </c>
      <c r="G2453" s="101">
        <f>49900-1712.5</f>
        <v>48187.5</v>
      </c>
      <c r="H2453" s="165">
        <f t="shared" si="161"/>
        <v>96375</v>
      </c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56"/>
    </row>
    <row r="2454" spans="1:22" x14ac:dyDescent="0.25">
      <c r="A2454" s="25">
        <v>2443</v>
      </c>
      <c r="B2454" s="23"/>
      <c r="C2454" s="14" t="s">
        <v>1223</v>
      </c>
      <c r="D2454" s="23"/>
      <c r="E2454" s="23">
        <v>2</v>
      </c>
      <c r="F2454" s="23" t="s">
        <v>407</v>
      </c>
      <c r="G2454" s="101">
        <v>49500</v>
      </c>
      <c r="H2454" s="165">
        <f t="shared" si="161"/>
        <v>99000</v>
      </c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56"/>
    </row>
    <row r="2455" spans="1:22" ht="28.5" x14ac:dyDescent="0.25">
      <c r="A2455" s="25">
        <v>2444</v>
      </c>
      <c r="B2455" s="23"/>
      <c r="C2455" s="14" t="s">
        <v>1224</v>
      </c>
      <c r="D2455" s="23"/>
      <c r="E2455" s="23">
        <v>2</v>
      </c>
      <c r="F2455" s="23" t="s">
        <v>407</v>
      </c>
      <c r="G2455" s="101">
        <v>40500</v>
      </c>
      <c r="H2455" s="165">
        <f t="shared" si="161"/>
        <v>81000</v>
      </c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56"/>
    </row>
    <row r="2456" spans="1:22" x14ac:dyDescent="0.25">
      <c r="A2456" s="25">
        <v>2445</v>
      </c>
      <c r="B2456" s="23"/>
      <c r="C2456" s="14" t="s">
        <v>1225</v>
      </c>
      <c r="D2456" s="23"/>
      <c r="E2456" s="23">
        <v>2</v>
      </c>
      <c r="F2456" s="23" t="s">
        <v>407</v>
      </c>
      <c r="G2456" s="101">
        <v>48900</v>
      </c>
      <c r="H2456" s="165">
        <f t="shared" si="161"/>
        <v>97800</v>
      </c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56"/>
    </row>
    <row r="2457" spans="1:22" x14ac:dyDescent="0.25">
      <c r="A2457" s="25">
        <v>2446</v>
      </c>
      <c r="B2457" s="23"/>
      <c r="C2457" s="14" t="s">
        <v>1226</v>
      </c>
      <c r="D2457" s="23"/>
      <c r="E2457" s="23">
        <v>2</v>
      </c>
      <c r="F2457" s="23" t="s">
        <v>407</v>
      </c>
      <c r="G2457" s="101">
        <v>48352.5</v>
      </c>
      <c r="H2457" s="165">
        <f t="shared" si="161"/>
        <v>96705</v>
      </c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56"/>
    </row>
    <row r="2458" spans="1:22" x14ac:dyDescent="0.25">
      <c r="A2458" s="25">
        <v>2447</v>
      </c>
      <c r="B2458" s="23"/>
      <c r="C2458" s="14"/>
      <c r="D2458" s="23"/>
      <c r="E2458" s="84"/>
      <c r="F2458" s="23"/>
      <c r="G2458" s="165"/>
      <c r="H2458" s="165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56"/>
    </row>
    <row r="2459" spans="1:22" ht="30" x14ac:dyDescent="0.25">
      <c r="A2459" s="25">
        <v>2448</v>
      </c>
      <c r="B2459" s="86" t="s">
        <v>219</v>
      </c>
      <c r="C2459" s="87" t="s">
        <v>220</v>
      </c>
      <c r="D2459" s="86" t="s">
        <v>26</v>
      </c>
      <c r="E2459" s="86"/>
      <c r="F2459" s="86"/>
      <c r="G2459" s="161"/>
      <c r="H2459" s="162">
        <v>13031450</v>
      </c>
      <c r="I2459" s="86" t="s">
        <v>52</v>
      </c>
      <c r="J2459" s="88">
        <v>4</v>
      </c>
      <c r="K2459" s="86"/>
      <c r="L2459" s="86"/>
      <c r="M2459" s="88">
        <v>4</v>
      </c>
      <c r="N2459" s="86"/>
      <c r="O2459" s="86"/>
      <c r="P2459" s="88">
        <v>4</v>
      </c>
      <c r="Q2459" s="86"/>
      <c r="R2459" s="86"/>
      <c r="S2459" s="88">
        <v>4</v>
      </c>
      <c r="T2459" s="86"/>
      <c r="U2459" s="86"/>
      <c r="V2459" s="56"/>
    </row>
    <row r="2460" spans="1:22" ht="30" x14ac:dyDescent="0.25">
      <c r="A2460" s="25">
        <v>2449</v>
      </c>
      <c r="B2460" s="89" t="s">
        <v>219</v>
      </c>
      <c r="C2460" s="90" t="s">
        <v>221</v>
      </c>
      <c r="D2460" s="89" t="s">
        <v>27</v>
      </c>
      <c r="E2460" s="89"/>
      <c r="F2460" s="89"/>
      <c r="G2460" s="163"/>
      <c r="H2460" s="167">
        <v>13031450</v>
      </c>
      <c r="I2460" s="89" t="s">
        <v>52</v>
      </c>
      <c r="J2460" s="60">
        <v>4</v>
      </c>
      <c r="K2460" s="60"/>
      <c r="L2460" s="60"/>
      <c r="M2460" s="60">
        <v>4</v>
      </c>
      <c r="N2460" s="60"/>
      <c r="O2460" s="60"/>
      <c r="P2460" s="60">
        <v>4</v>
      </c>
      <c r="Q2460" s="60"/>
      <c r="R2460" s="60"/>
      <c r="S2460" s="60">
        <v>4</v>
      </c>
      <c r="T2460" s="60"/>
      <c r="U2460" s="60"/>
      <c r="V2460" s="56"/>
    </row>
    <row r="2461" spans="1:22" ht="28.5" x14ac:dyDescent="0.25">
      <c r="A2461" s="25">
        <v>2450</v>
      </c>
      <c r="B2461" s="23"/>
      <c r="C2461" s="14" t="s">
        <v>1227</v>
      </c>
      <c r="D2461" s="23"/>
      <c r="E2461" s="23">
        <f>20*4</f>
        <v>80</v>
      </c>
      <c r="F2461" s="23" t="s">
        <v>37</v>
      </c>
      <c r="G2461" s="101">
        <v>11250</v>
      </c>
      <c r="H2461" s="165">
        <f>G2461*E2461</f>
        <v>900000</v>
      </c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56"/>
    </row>
    <row r="2462" spans="1:22" x14ac:dyDescent="0.25">
      <c r="A2462" s="25">
        <v>2451</v>
      </c>
      <c r="B2462" s="23"/>
      <c r="C2462" s="14" t="s">
        <v>1228</v>
      </c>
      <c r="D2462" s="23"/>
      <c r="E2462" s="23">
        <f>20*4</f>
        <v>80</v>
      </c>
      <c r="F2462" s="23" t="s">
        <v>37</v>
      </c>
      <c r="G2462" s="101">
        <v>7527.25</v>
      </c>
      <c r="H2462" s="165">
        <f t="shared" ref="H2462:H2468" si="162">G2462*E2462</f>
        <v>602180</v>
      </c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56"/>
    </row>
    <row r="2463" spans="1:22" ht="28.5" x14ac:dyDescent="0.25">
      <c r="A2463" s="25">
        <v>2452</v>
      </c>
      <c r="B2463" s="23"/>
      <c r="C2463" s="14" t="s">
        <v>1229</v>
      </c>
      <c r="D2463" s="23"/>
      <c r="E2463" s="23">
        <f>18*4</f>
        <v>72</v>
      </c>
      <c r="F2463" s="23" t="s">
        <v>37</v>
      </c>
      <c r="G2463" s="101">
        <v>5253.75</v>
      </c>
      <c r="H2463" s="165">
        <f t="shared" si="162"/>
        <v>378270</v>
      </c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56"/>
    </row>
    <row r="2464" spans="1:22" ht="28.5" x14ac:dyDescent="0.25">
      <c r="A2464" s="25">
        <v>2453</v>
      </c>
      <c r="B2464" s="23"/>
      <c r="C2464" s="14" t="s">
        <v>1230</v>
      </c>
      <c r="D2464" s="23"/>
      <c r="E2464" s="23">
        <f>18*4</f>
        <v>72</v>
      </c>
      <c r="F2464" s="23" t="s">
        <v>37</v>
      </c>
      <c r="G2464" s="101">
        <v>3375</v>
      </c>
      <c r="H2464" s="165">
        <f t="shared" si="162"/>
        <v>243000</v>
      </c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56"/>
    </row>
    <row r="2465" spans="1:22" x14ac:dyDescent="0.25">
      <c r="A2465" s="25">
        <v>2454</v>
      </c>
      <c r="B2465" s="23"/>
      <c r="C2465" s="14" t="s">
        <v>1231</v>
      </c>
      <c r="D2465" s="23"/>
      <c r="E2465" s="23">
        <f>20*4</f>
        <v>80</v>
      </c>
      <c r="F2465" s="23" t="s">
        <v>37</v>
      </c>
      <c r="G2465" s="101">
        <v>22500</v>
      </c>
      <c r="H2465" s="165">
        <f t="shared" si="162"/>
        <v>1800000</v>
      </c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56"/>
    </row>
    <row r="2466" spans="1:22" ht="28.5" x14ac:dyDescent="0.25">
      <c r="A2466" s="25">
        <v>2455</v>
      </c>
      <c r="B2466" s="23"/>
      <c r="C2466" s="14" t="s">
        <v>1232</v>
      </c>
      <c r="D2466" s="23"/>
      <c r="E2466" s="23">
        <f>20*4</f>
        <v>80</v>
      </c>
      <c r="F2466" s="23" t="s">
        <v>37</v>
      </c>
      <c r="G2466" s="101">
        <v>60000</v>
      </c>
      <c r="H2466" s="165">
        <f t="shared" si="162"/>
        <v>4800000</v>
      </c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56"/>
    </row>
    <row r="2467" spans="1:22" x14ac:dyDescent="0.25">
      <c r="A2467" s="25">
        <v>2456</v>
      </c>
      <c r="B2467" s="23"/>
      <c r="C2467" s="14" t="s">
        <v>1233</v>
      </c>
      <c r="D2467" s="23"/>
      <c r="E2467" s="23">
        <f>20*4</f>
        <v>80</v>
      </c>
      <c r="F2467" s="23" t="s">
        <v>37</v>
      </c>
      <c r="G2467" s="101">
        <v>52500</v>
      </c>
      <c r="H2467" s="165">
        <f t="shared" si="162"/>
        <v>4200000</v>
      </c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56"/>
    </row>
    <row r="2468" spans="1:22" ht="28.5" x14ac:dyDescent="0.25">
      <c r="A2468" s="25">
        <v>2457</v>
      </c>
      <c r="B2468" s="23"/>
      <c r="C2468" s="14" t="s">
        <v>1234</v>
      </c>
      <c r="D2468" s="23"/>
      <c r="E2468" s="23">
        <f>18*4</f>
        <v>72</v>
      </c>
      <c r="F2468" s="23" t="s">
        <v>37</v>
      </c>
      <c r="G2468" s="101">
        <v>1500</v>
      </c>
      <c r="H2468" s="165">
        <f t="shared" si="162"/>
        <v>108000</v>
      </c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56"/>
    </row>
    <row r="2469" spans="1:22" x14ac:dyDescent="0.25">
      <c r="A2469" s="25">
        <v>2458</v>
      </c>
      <c r="B2469" s="23"/>
      <c r="C2469" s="14"/>
      <c r="D2469" s="23"/>
      <c r="E2469" s="84"/>
      <c r="F2469" s="23"/>
      <c r="G2469" s="165"/>
      <c r="H2469" s="165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56"/>
    </row>
    <row r="2470" spans="1:22" ht="30" x14ac:dyDescent="0.25">
      <c r="A2470" s="25">
        <v>2459</v>
      </c>
      <c r="B2470" s="86" t="s">
        <v>222</v>
      </c>
      <c r="C2470" s="87" t="s">
        <v>223</v>
      </c>
      <c r="D2470" s="86" t="s">
        <v>26</v>
      </c>
      <c r="E2470" s="86"/>
      <c r="F2470" s="86"/>
      <c r="G2470" s="161"/>
      <c r="H2470" s="162">
        <f>H2471+H2479+H2491+H2497+H2504+H2517+H2525+H2531+H2539+H2559+H2574+H2579+H2594+H2600+H2607+H2619+H2625+H2635+H2629+H2639+H2651+H2667+H2671+H2676+H2688+H2696+H2703+H2711+H2715+H2721+H2733+H2752+H2759+H2770+H2792+H2802+H2808+H2814+H2821+H2829+H2833+H2839+H2845+H2851+H2859+H2867+H2875+H2880+H2888+H2896+H2901+H2910+H2917+H2926+H2932+H2938+H2951+H2958+H2969+H2976+H2982+H2991+H2997+H3005+H3020+H3029+H3036</f>
        <v>63748204.910000004</v>
      </c>
      <c r="I2470" s="86" t="s">
        <v>52</v>
      </c>
      <c r="J2470" s="88">
        <v>32</v>
      </c>
      <c r="K2470" s="88">
        <v>41</v>
      </c>
      <c r="L2470" s="88">
        <v>28</v>
      </c>
      <c r="M2470" s="88">
        <v>60</v>
      </c>
      <c r="N2470" s="88">
        <v>31</v>
      </c>
      <c r="O2470" s="88">
        <v>28</v>
      </c>
      <c r="P2470" s="88">
        <v>53</v>
      </c>
      <c r="Q2470" s="88">
        <v>30</v>
      </c>
      <c r="R2470" s="88">
        <v>25</v>
      </c>
      <c r="S2470" s="88">
        <v>42</v>
      </c>
      <c r="T2470" s="88">
        <v>32</v>
      </c>
      <c r="U2470" s="88">
        <v>23</v>
      </c>
      <c r="V2470" s="56"/>
    </row>
    <row r="2471" spans="1:22" ht="30" x14ac:dyDescent="0.25">
      <c r="A2471" s="25">
        <v>2460</v>
      </c>
      <c r="B2471" s="89" t="s">
        <v>222</v>
      </c>
      <c r="C2471" s="90" t="s">
        <v>180</v>
      </c>
      <c r="D2471" s="89" t="s">
        <v>27</v>
      </c>
      <c r="E2471" s="89"/>
      <c r="F2471" s="89"/>
      <c r="G2471" s="163"/>
      <c r="H2471" s="167">
        <v>2073000</v>
      </c>
      <c r="I2471" s="89" t="s">
        <v>52</v>
      </c>
      <c r="J2471" s="60">
        <v>1</v>
      </c>
      <c r="K2471" s="60">
        <v>1</v>
      </c>
      <c r="L2471" s="60">
        <v>1</v>
      </c>
      <c r="M2471" s="60">
        <v>1</v>
      </c>
      <c r="N2471" s="60">
        <v>1</v>
      </c>
      <c r="O2471" s="60">
        <v>1</v>
      </c>
      <c r="P2471" s="60">
        <v>1</v>
      </c>
      <c r="Q2471" s="60">
        <v>1</v>
      </c>
      <c r="R2471" s="60">
        <v>1</v>
      </c>
      <c r="S2471" s="60">
        <v>1</v>
      </c>
      <c r="T2471" s="60">
        <v>1</v>
      </c>
      <c r="U2471" s="60">
        <v>1</v>
      </c>
      <c r="V2471" s="56"/>
    </row>
    <row r="2472" spans="1:22" x14ac:dyDescent="0.25">
      <c r="A2472" s="25">
        <v>2461</v>
      </c>
      <c r="B2472" s="23"/>
      <c r="C2472" s="14" t="s">
        <v>54</v>
      </c>
      <c r="D2472" s="23"/>
      <c r="E2472" s="84"/>
      <c r="F2472" s="23"/>
      <c r="G2472" s="165"/>
      <c r="H2472" s="165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56"/>
    </row>
    <row r="2473" spans="1:22" x14ac:dyDescent="0.25">
      <c r="A2473" s="25">
        <v>2462</v>
      </c>
      <c r="B2473" s="23"/>
      <c r="C2473" s="111" t="s">
        <v>1235</v>
      </c>
      <c r="D2473" s="23"/>
      <c r="E2473" s="112">
        <f>250*12</f>
        <v>3000</v>
      </c>
      <c r="F2473" s="112" t="s">
        <v>37</v>
      </c>
      <c r="G2473" s="113">
        <v>150</v>
      </c>
      <c r="H2473" s="165">
        <f>G2473*E2473</f>
        <v>450000</v>
      </c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56"/>
    </row>
    <row r="2474" spans="1:22" x14ac:dyDescent="0.25">
      <c r="A2474" s="25">
        <v>2463</v>
      </c>
      <c r="B2474" s="23"/>
      <c r="C2474" s="111" t="s">
        <v>1236</v>
      </c>
      <c r="D2474" s="23"/>
      <c r="E2474" s="112">
        <f>250*12</f>
        <v>3000</v>
      </c>
      <c r="F2474" s="112" t="s">
        <v>37</v>
      </c>
      <c r="G2474" s="113">
        <v>250</v>
      </c>
      <c r="H2474" s="165">
        <f t="shared" ref="H2474:H2477" si="163">G2474*E2474</f>
        <v>750000</v>
      </c>
      <c r="I2474" s="76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56"/>
    </row>
    <row r="2475" spans="1:22" x14ac:dyDescent="0.25">
      <c r="A2475" s="25">
        <v>2464</v>
      </c>
      <c r="B2475" s="23"/>
      <c r="C2475" s="111" t="s">
        <v>1237</v>
      </c>
      <c r="D2475" s="23"/>
      <c r="E2475" s="112">
        <f>250*12</f>
        <v>3000</v>
      </c>
      <c r="F2475" s="112" t="s">
        <v>37</v>
      </c>
      <c r="G2475" s="113">
        <v>150</v>
      </c>
      <c r="H2475" s="165">
        <f t="shared" si="163"/>
        <v>450000</v>
      </c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56"/>
    </row>
    <row r="2476" spans="1:22" x14ac:dyDescent="0.25">
      <c r="A2476" s="25">
        <v>2465</v>
      </c>
      <c r="B2476" s="23"/>
      <c r="C2476" s="111" t="s">
        <v>1238</v>
      </c>
      <c r="D2476" s="23"/>
      <c r="E2476" s="112">
        <f>15*12</f>
        <v>180</v>
      </c>
      <c r="F2476" s="23" t="s">
        <v>567</v>
      </c>
      <c r="G2476" s="113">
        <v>1900</v>
      </c>
      <c r="H2476" s="165">
        <f t="shared" si="163"/>
        <v>342000</v>
      </c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56"/>
    </row>
    <row r="2477" spans="1:22" x14ac:dyDescent="0.25">
      <c r="A2477" s="25">
        <v>2466</v>
      </c>
      <c r="B2477" s="23"/>
      <c r="C2477" s="111" t="s">
        <v>747</v>
      </c>
      <c r="D2477" s="23"/>
      <c r="E2477" s="112">
        <f>15*12</f>
        <v>180</v>
      </c>
      <c r="F2477" s="23" t="s">
        <v>567</v>
      </c>
      <c r="G2477" s="113">
        <v>450</v>
      </c>
      <c r="H2477" s="165">
        <f t="shared" si="163"/>
        <v>81000</v>
      </c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56"/>
    </row>
    <row r="2478" spans="1:22" x14ac:dyDescent="0.25">
      <c r="A2478" s="25">
        <v>2467</v>
      </c>
      <c r="B2478" s="23"/>
      <c r="C2478" s="14"/>
      <c r="D2478" s="23"/>
      <c r="E2478" s="84"/>
      <c r="F2478" s="23"/>
      <c r="G2478" s="165"/>
      <c r="H2478" s="165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56"/>
    </row>
    <row r="2479" spans="1:22" ht="30" x14ac:dyDescent="0.25">
      <c r="A2479" s="25">
        <v>2468</v>
      </c>
      <c r="B2479" s="89" t="s">
        <v>222</v>
      </c>
      <c r="C2479" s="90" t="s">
        <v>191</v>
      </c>
      <c r="D2479" s="89" t="s">
        <v>27</v>
      </c>
      <c r="E2479" s="89"/>
      <c r="F2479" s="89"/>
      <c r="G2479" s="163"/>
      <c r="H2479" s="167">
        <v>1795500</v>
      </c>
      <c r="I2479" s="89" t="s">
        <v>52</v>
      </c>
      <c r="J2479" s="60"/>
      <c r="K2479" s="60"/>
      <c r="L2479" s="60"/>
      <c r="M2479" s="60">
        <v>2</v>
      </c>
      <c r="N2479" s="60"/>
      <c r="O2479" s="60"/>
      <c r="P2479" s="60"/>
      <c r="Q2479" s="60"/>
      <c r="R2479" s="60"/>
      <c r="S2479" s="60"/>
      <c r="T2479" s="60"/>
      <c r="U2479" s="60"/>
      <c r="V2479" s="56"/>
    </row>
    <row r="2480" spans="1:22" x14ac:dyDescent="0.25">
      <c r="A2480" s="25">
        <v>2469</v>
      </c>
      <c r="B2480" s="23"/>
      <c r="C2480" s="14" t="s">
        <v>54</v>
      </c>
      <c r="D2480" s="23"/>
      <c r="E2480" s="84"/>
      <c r="F2480" s="23"/>
      <c r="G2480" s="165"/>
      <c r="H2480" s="165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56"/>
    </row>
    <row r="2481" spans="1:22" x14ac:dyDescent="0.25">
      <c r="A2481" s="25">
        <v>2470</v>
      </c>
      <c r="B2481" s="23"/>
      <c r="C2481" s="137" t="s">
        <v>1242</v>
      </c>
      <c r="D2481" s="23"/>
      <c r="E2481" s="112">
        <v>650</v>
      </c>
      <c r="F2481" s="112" t="s">
        <v>37</v>
      </c>
      <c r="G2481" s="113">
        <v>250</v>
      </c>
      <c r="H2481" s="165">
        <f>G2481*E2481</f>
        <v>162500</v>
      </c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56"/>
    </row>
    <row r="2482" spans="1:22" x14ac:dyDescent="0.25">
      <c r="A2482" s="25">
        <v>2471</v>
      </c>
      <c r="B2482" s="23"/>
      <c r="C2482" s="111" t="s">
        <v>1243</v>
      </c>
      <c r="D2482" s="23"/>
      <c r="E2482" s="112">
        <v>650</v>
      </c>
      <c r="F2482" s="112" t="s">
        <v>37</v>
      </c>
      <c r="G2482" s="113">
        <v>220</v>
      </c>
      <c r="H2482" s="165">
        <f t="shared" ref="H2482:H2489" si="164">G2482*E2482</f>
        <v>143000</v>
      </c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56"/>
    </row>
    <row r="2483" spans="1:22" x14ac:dyDescent="0.25">
      <c r="A2483" s="25">
        <v>2472</v>
      </c>
      <c r="B2483" s="23"/>
      <c r="C2483" s="111" t="s">
        <v>1244</v>
      </c>
      <c r="D2483" s="23"/>
      <c r="E2483" s="112">
        <v>650</v>
      </c>
      <c r="F2483" s="112" t="s">
        <v>37</v>
      </c>
      <c r="G2483" s="113">
        <v>400</v>
      </c>
      <c r="H2483" s="165">
        <f t="shared" si="164"/>
        <v>260000</v>
      </c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56"/>
    </row>
    <row r="2484" spans="1:22" x14ac:dyDescent="0.25">
      <c r="A2484" s="25">
        <v>2473</v>
      </c>
      <c r="B2484" s="23"/>
      <c r="C2484" s="111" t="s">
        <v>1245</v>
      </c>
      <c r="D2484" s="23"/>
      <c r="E2484" s="112">
        <v>50</v>
      </c>
      <c r="F2484" s="23" t="s">
        <v>567</v>
      </c>
      <c r="G2484" s="113">
        <v>450</v>
      </c>
      <c r="H2484" s="165">
        <f t="shared" si="164"/>
        <v>22500</v>
      </c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56"/>
    </row>
    <row r="2485" spans="1:22" x14ac:dyDescent="0.25">
      <c r="A2485" s="25">
        <v>2474</v>
      </c>
      <c r="B2485" s="23"/>
      <c r="C2485" s="111" t="s">
        <v>1246</v>
      </c>
      <c r="D2485" s="23"/>
      <c r="E2485" s="112">
        <v>50</v>
      </c>
      <c r="F2485" s="23" t="s">
        <v>567</v>
      </c>
      <c r="G2485" s="113">
        <v>1200</v>
      </c>
      <c r="H2485" s="165">
        <f t="shared" si="164"/>
        <v>60000</v>
      </c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56"/>
    </row>
    <row r="2486" spans="1:22" x14ac:dyDescent="0.25">
      <c r="A2486" s="25">
        <v>2475</v>
      </c>
      <c r="B2486" s="23"/>
      <c r="C2486" s="111" t="s">
        <v>1247</v>
      </c>
      <c r="D2486" s="23"/>
      <c r="E2486" s="112">
        <v>650</v>
      </c>
      <c r="F2486" s="112" t="s">
        <v>37</v>
      </c>
      <c r="G2486" s="113">
        <v>500</v>
      </c>
      <c r="H2486" s="165">
        <f t="shared" si="164"/>
        <v>325000</v>
      </c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56"/>
    </row>
    <row r="2487" spans="1:22" x14ac:dyDescent="0.25">
      <c r="A2487" s="25">
        <v>2476</v>
      </c>
      <c r="B2487" s="23"/>
      <c r="C2487" s="111" t="s">
        <v>1248</v>
      </c>
      <c r="D2487" s="23"/>
      <c r="E2487" s="112">
        <v>650</v>
      </c>
      <c r="F2487" s="112" t="s">
        <v>37</v>
      </c>
      <c r="G2487" s="113">
        <v>400</v>
      </c>
      <c r="H2487" s="165">
        <f t="shared" si="164"/>
        <v>260000</v>
      </c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56"/>
    </row>
    <row r="2488" spans="1:22" x14ac:dyDescent="0.25">
      <c r="A2488" s="25">
        <v>2477</v>
      </c>
      <c r="B2488" s="23"/>
      <c r="C2488" s="111" t="s">
        <v>1249</v>
      </c>
      <c r="D2488" s="23"/>
      <c r="E2488" s="112">
        <v>650</v>
      </c>
      <c r="F2488" s="112" t="s">
        <v>37</v>
      </c>
      <c r="G2488" s="113">
        <v>450</v>
      </c>
      <c r="H2488" s="165">
        <f t="shared" si="164"/>
        <v>292500</v>
      </c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56"/>
    </row>
    <row r="2489" spans="1:22" x14ac:dyDescent="0.25">
      <c r="A2489" s="25">
        <v>2478</v>
      </c>
      <c r="B2489" s="23"/>
      <c r="C2489" s="111" t="s">
        <v>1250</v>
      </c>
      <c r="D2489" s="23"/>
      <c r="E2489" s="112">
        <v>150</v>
      </c>
      <c r="F2489" s="8" t="s">
        <v>152</v>
      </c>
      <c r="G2489" s="113">
        <v>1800</v>
      </c>
      <c r="H2489" s="165">
        <f t="shared" si="164"/>
        <v>270000</v>
      </c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56"/>
    </row>
    <row r="2490" spans="1:22" x14ac:dyDescent="0.25">
      <c r="A2490" s="25">
        <v>2479</v>
      </c>
      <c r="B2490" s="23"/>
      <c r="C2490" s="14"/>
      <c r="D2490" s="23"/>
      <c r="E2490" s="84"/>
      <c r="F2490" s="23"/>
      <c r="G2490" s="165"/>
      <c r="H2490" s="165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56"/>
    </row>
    <row r="2491" spans="1:22" ht="30" x14ac:dyDescent="0.25">
      <c r="A2491" s="25">
        <v>2480</v>
      </c>
      <c r="B2491" s="89" t="s">
        <v>222</v>
      </c>
      <c r="C2491" s="90" t="s">
        <v>89</v>
      </c>
      <c r="D2491" s="89" t="s">
        <v>27</v>
      </c>
      <c r="E2491" s="89"/>
      <c r="F2491" s="89"/>
      <c r="G2491" s="163"/>
      <c r="H2491" s="167">
        <v>76800</v>
      </c>
      <c r="I2491" s="89" t="s">
        <v>52</v>
      </c>
      <c r="J2491" s="60"/>
      <c r="K2491" s="60">
        <v>2</v>
      </c>
      <c r="L2491" s="60"/>
      <c r="M2491" s="60"/>
      <c r="N2491" s="60">
        <v>2</v>
      </c>
      <c r="O2491" s="60"/>
      <c r="P2491" s="60"/>
      <c r="Q2491" s="60">
        <v>2</v>
      </c>
      <c r="R2491" s="60"/>
      <c r="S2491" s="60"/>
      <c r="T2491" s="60">
        <v>2</v>
      </c>
      <c r="U2491" s="60"/>
      <c r="V2491" s="56"/>
    </row>
    <row r="2492" spans="1:22" x14ac:dyDescent="0.25">
      <c r="A2492" s="25">
        <v>2481</v>
      </c>
      <c r="B2492" s="23"/>
      <c r="C2492" s="14" t="s">
        <v>677</v>
      </c>
      <c r="D2492" s="23"/>
      <c r="E2492" s="84">
        <v>120</v>
      </c>
      <c r="F2492" s="23" t="s">
        <v>37</v>
      </c>
      <c r="G2492" s="165">
        <v>240</v>
      </c>
      <c r="H2492" s="165">
        <v>28800</v>
      </c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56"/>
    </row>
    <row r="2493" spans="1:22" ht="28.5" x14ac:dyDescent="0.25">
      <c r="A2493" s="25">
        <v>2482</v>
      </c>
      <c r="B2493" s="23"/>
      <c r="C2493" s="14" t="s">
        <v>678</v>
      </c>
      <c r="D2493" s="23"/>
      <c r="E2493" s="84">
        <v>40</v>
      </c>
      <c r="F2493" s="23" t="s">
        <v>37</v>
      </c>
      <c r="G2493" s="165">
        <v>240</v>
      </c>
      <c r="H2493" s="165">
        <v>9600</v>
      </c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56"/>
    </row>
    <row r="2494" spans="1:22" x14ac:dyDescent="0.25">
      <c r="A2494" s="25">
        <v>2483</v>
      </c>
      <c r="B2494" s="23"/>
      <c r="C2494" s="14" t="s">
        <v>679</v>
      </c>
      <c r="D2494" s="23"/>
      <c r="E2494" s="84">
        <v>120</v>
      </c>
      <c r="F2494" s="23" t="s">
        <v>37</v>
      </c>
      <c r="G2494" s="165">
        <v>240</v>
      </c>
      <c r="H2494" s="165">
        <v>28800</v>
      </c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56"/>
    </row>
    <row r="2495" spans="1:22" ht="28.5" x14ac:dyDescent="0.25">
      <c r="A2495" s="25">
        <v>2484</v>
      </c>
      <c r="B2495" s="23"/>
      <c r="C2495" s="14" t="s">
        <v>680</v>
      </c>
      <c r="D2495" s="23"/>
      <c r="E2495" s="84">
        <v>40</v>
      </c>
      <c r="F2495" s="23" t="s">
        <v>37</v>
      </c>
      <c r="G2495" s="165">
        <v>240</v>
      </c>
      <c r="H2495" s="165">
        <v>9600</v>
      </c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56"/>
    </row>
    <row r="2496" spans="1:22" x14ac:dyDescent="0.25">
      <c r="A2496" s="25">
        <v>2485</v>
      </c>
      <c r="B2496" s="23"/>
      <c r="C2496" s="14"/>
      <c r="D2496" s="23"/>
      <c r="E2496" s="84"/>
      <c r="F2496" s="23"/>
      <c r="G2496" s="165"/>
      <c r="H2496" s="165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56"/>
    </row>
    <row r="2497" spans="1:22" ht="30" x14ac:dyDescent="0.25">
      <c r="A2497" s="25">
        <v>2486</v>
      </c>
      <c r="B2497" s="89" t="s">
        <v>222</v>
      </c>
      <c r="C2497" s="90" t="s">
        <v>226</v>
      </c>
      <c r="D2497" s="89" t="s">
        <v>27</v>
      </c>
      <c r="E2497" s="89"/>
      <c r="F2497" s="89"/>
      <c r="G2497" s="163"/>
      <c r="H2497" s="167">
        <v>116400</v>
      </c>
      <c r="I2497" s="89" t="s">
        <v>52</v>
      </c>
      <c r="J2497" s="60"/>
      <c r="K2497" s="60"/>
      <c r="L2497" s="60"/>
      <c r="M2497" s="60">
        <v>2</v>
      </c>
      <c r="N2497" s="60"/>
      <c r="O2497" s="60"/>
      <c r="P2497" s="60"/>
      <c r="Q2497" s="60"/>
      <c r="R2497" s="60"/>
      <c r="S2497" s="60"/>
      <c r="T2497" s="60"/>
      <c r="U2497" s="60"/>
      <c r="V2497" s="56"/>
    </row>
    <row r="2498" spans="1:22" x14ac:dyDescent="0.25">
      <c r="A2498" s="25">
        <v>2487</v>
      </c>
      <c r="B2498" s="23"/>
      <c r="C2498" s="14" t="s">
        <v>54</v>
      </c>
      <c r="D2498" s="23"/>
      <c r="E2498" s="84"/>
      <c r="F2498" s="23"/>
      <c r="G2498" s="165"/>
      <c r="H2498" s="165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56"/>
    </row>
    <row r="2499" spans="1:22" x14ac:dyDescent="0.25">
      <c r="A2499" s="25">
        <v>2488</v>
      </c>
      <c r="B2499" s="23"/>
      <c r="C2499" s="6" t="s">
        <v>354</v>
      </c>
      <c r="D2499" s="23"/>
      <c r="E2499" s="7">
        <f>120*2</f>
        <v>240</v>
      </c>
      <c r="F2499" s="138" t="s">
        <v>37</v>
      </c>
      <c r="G2499" s="45">
        <v>120</v>
      </c>
      <c r="H2499" s="165">
        <f>G2499*E2499</f>
        <v>28800</v>
      </c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56"/>
    </row>
    <row r="2500" spans="1:22" x14ac:dyDescent="0.25">
      <c r="A2500" s="25">
        <v>2489</v>
      </c>
      <c r="B2500" s="23"/>
      <c r="C2500" s="6" t="s">
        <v>346</v>
      </c>
      <c r="D2500" s="23"/>
      <c r="E2500" s="7">
        <f t="shared" ref="E2500:E2501" si="165">120*2</f>
        <v>240</v>
      </c>
      <c r="F2500" s="139" t="s">
        <v>37</v>
      </c>
      <c r="G2500" s="140">
        <v>180</v>
      </c>
      <c r="H2500" s="165">
        <f t="shared" ref="H2500:H2501" si="166">G2500*E2500</f>
        <v>43200</v>
      </c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56"/>
    </row>
    <row r="2501" spans="1:22" x14ac:dyDescent="0.25">
      <c r="A2501" s="25">
        <v>2490</v>
      </c>
      <c r="B2501" s="23"/>
      <c r="C2501" s="6" t="s">
        <v>1254</v>
      </c>
      <c r="D2501" s="23"/>
      <c r="E2501" s="7">
        <f t="shared" si="165"/>
        <v>240</v>
      </c>
      <c r="F2501" s="138" t="s">
        <v>37</v>
      </c>
      <c r="G2501" s="45">
        <v>120</v>
      </c>
      <c r="H2501" s="165">
        <f t="shared" si="166"/>
        <v>28800</v>
      </c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56"/>
    </row>
    <row r="2502" spans="1:22" x14ac:dyDescent="0.25">
      <c r="A2502" s="25">
        <v>2491</v>
      </c>
      <c r="B2502" s="23"/>
      <c r="C2502" s="6" t="s">
        <v>1255</v>
      </c>
      <c r="D2502" s="23"/>
      <c r="E2502" s="7">
        <f>120</f>
        <v>120</v>
      </c>
      <c r="F2502" s="138" t="s">
        <v>37</v>
      </c>
      <c r="G2502" s="45">
        <v>130</v>
      </c>
      <c r="H2502" s="165">
        <f>G2502*E2502</f>
        <v>15600</v>
      </c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56"/>
    </row>
    <row r="2503" spans="1:22" x14ac:dyDescent="0.25">
      <c r="A2503" s="25">
        <v>2492</v>
      </c>
      <c r="B2503" s="23"/>
      <c r="C2503" s="14"/>
      <c r="D2503" s="23"/>
      <c r="E2503" s="84"/>
      <c r="F2503" s="23"/>
      <c r="G2503" s="165"/>
      <c r="H2503" s="165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56"/>
    </row>
    <row r="2504" spans="1:22" ht="30" x14ac:dyDescent="0.25">
      <c r="A2504" s="25">
        <v>2493</v>
      </c>
      <c r="B2504" s="89" t="s">
        <v>222</v>
      </c>
      <c r="C2504" s="90" t="s">
        <v>36</v>
      </c>
      <c r="D2504" s="89" t="s">
        <v>27</v>
      </c>
      <c r="E2504" s="89"/>
      <c r="F2504" s="89"/>
      <c r="G2504" s="163"/>
      <c r="H2504" s="167">
        <v>390120</v>
      </c>
      <c r="I2504" s="89" t="s">
        <v>52</v>
      </c>
      <c r="J2504" s="60"/>
      <c r="K2504" s="60"/>
      <c r="L2504" s="60"/>
      <c r="M2504" s="60"/>
      <c r="N2504" s="60">
        <v>2</v>
      </c>
      <c r="O2504" s="60"/>
      <c r="P2504" s="60"/>
      <c r="Q2504" s="60"/>
      <c r="R2504" s="60"/>
      <c r="S2504" s="60"/>
      <c r="T2504" s="60"/>
      <c r="U2504" s="60"/>
      <c r="V2504" s="56"/>
    </row>
    <row r="2505" spans="1:22" x14ac:dyDescent="0.25">
      <c r="A2505" s="25">
        <v>2494</v>
      </c>
      <c r="B2505" s="23"/>
      <c r="C2505" s="14" t="s">
        <v>859</v>
      </c>
      <c r="D2505" s="23"/>
      <c r="E2505" s="84"/>
      <c r="F2505" s="23"/>
      <c r="G2505" s="165"/>
      <c r="H2505" s="165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56"/>
    </row>
    <row r="2506" spans="1:22" x14ac:dyDescent="0.25">
      <c r="A2506" s="25">
        <v>2495</v>
      </c>
      <c r="B2506" s="23"/>
      <c r="C2506" s="61" t="s">
        <v>856</v>
      </c>
      <c r="D2506" s="23"/>
      <c r="E2506" s="25">
        <f>39*15</f>
        <v>585</v>
      </c>
      <c r="F2506" s="25" t="s">
        <v>37</v>
      </c>
      <c r="G2506" s="166">
        <v>120</v>
      </c>
      <c r="H2506" s="165">
        <f>G2506*E2506</f>
        <v>70200</v>
      </c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56"/>
    </row>
    <row r="2507" spans="1:22" x14ac:dyDescent="0.25">
      <c r="A2507" s="25">
        <v>2496</v>
      </c>
      <c r="B2507" s="23"/>
      <c r="C2507" s="61" t="s">
        <v>857</v>
      </c>
      <c r="D2507" s="23"/>
      <c r="E2507" s="25">
        <f t="shared" ref="E2507:E2508" si="167">39*15</f>
        <v>585</v>
      </c>
      <c r="F2507" s="25" t="s">
        <v>37</v>
      </c>
      <c r="G2507" s="166">
        <v>180</v>
      </c>
      <c r="H2507" s="165">
        <f t="shared" ref="H2507:H2508" si="168">G2507*E2507</f>
        <v>105300</v>
      </c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56"/>
    </row>
    <row r="2508" spans="1:22" x14ac:dyDescent="0.25">
      <c r="A2508" s="25">
        <v>2497</v>
      </c>
      <c r="B2508" s="23"/>
      <c r="C2508" s="61" t="s">
        <v>858</v>
      </c>
      <c r="D2508" s="23"/>
      <c r="E2508" s="25">
        <f t="shared" si="167"/>
        <v>585</v>
      </c>
      <c r="F2508" s="25" t="s">
        <v>37</v>
      </c>
      <c r="G2508" s="166">
        <v>120</v>
      </c>
      <c r="H2508" s="165">
        <f t="shared" si="168"/>
        <v>70200</v>
      </c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56"/>
    </row>
    <row r="2509" spans="1:22" x14ac:dyDescent="0.25">
      <c r="A2509" s="25">
        <v>2498</v>
      </c>
      <c r="B2509" s="23"/>
      <c r="C2509" s="14" t="s">
        <v>860</v>
      </c>
      <c r="D2509" s="23"/>
      <c r="E2509" s="84"/>
      <c r="F2509" s="23"/>
      <c r="G2509" s="165"/>
      <c r="H2509" s="165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56"/>
    </row>
    <row r="2510" spans="1:22" x14ac:dyDescent="0.25">
      <c r="A2510" s="25">
        <v>2499</v>
      </c>
      <c r="B2510" s="23"/>
      <c r="C2510" s="61" t="s">
        <v>861</v>
      </c>
      <c r="D2510" s="23"/>
      <c r="E2510" s="25">
        <f>39*4</f>
        <v>156</v>
      </c>
      <c r="F2510" s="25" t="s">
        <v>37</v>
      </c>
      <c r="G2510" s="166">
        <v>120</v>
      </c>
      <c r="H2510" s="165">
        <f>G2510*E2510</f>
        <v>18720</v>
      </c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56"/>
    </row>
    <row r="2511" spans="1:22" x14ac:dyDescent="0.25">
      <c r="A2511" s="25">
        <v>2500</v>
      </c>
      <c r="B2511" s="23"/>
      <c r="C2511" s="61" t="s">
        <v>862</v>
      </c>
      <c r="D2511" s="23"/>
      <c r="E2511" s="25">
        <f t="shared" ref="E2511:E2512" si="169">39*4</f>
        <v>156</v>
      </c>
      <c r="F2511" s="25" t="s">
        <v>37</v>
      </c>
      <c r="G2511" s="166">
        <v>180</v>
      </c>
      <c r="H2511" s="165">
        <f t="shared" ref="H2511:H2512" si="170">G2511*E2511</f>
        <v>28080</v>
      </c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56"/>
    </row>
    <row r="2512" spans="1:22" x14ac:dyDescent="0.25">
      <c r="A2512" s="25">
        <v>2501</v>
      </c>
      <c r="B2512" s="23"/>
      <c r="C2512" s="61" t="s">
        <v>863</v>
      </c>
      <c r="D2512" s="23"/>
      <c r="E2512" s="25">
        <f t="shared" si="169"/>
        <v>156</v>
      </c>
      <c r="F2512" s="25" t="s">
        <v>37</v>
      </c>
      <c r="G2512" s="166">
        <v>120</v>
      </c>
      <c r="H2512" s="165">
        <f t="shared" si="170"/>
        <v>18720</v>
      </c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56"/>
    </row>
    <row r="2513" spans="1:22" x14ac:dyDescent="0.25">
      <c r="A2513" s="25">
        <v>2502</v>
      </c>
      <c r="B2513" s="23"/>
      <c r="C2513" s="14" t="s">
        <v>864</v>
      </c>
      <c r="D2513" s="23"/>
      <c r="E2513" s="25"/>
      <c r="F2513" s="25"/>
      <c r="G2513" s="166"/>
      <c r="H2513" s="165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56"/>
    </row>
    <row r="2514" spans="1:22" x14ac:dyDescent="0.25">
      <c r="A2514" s="25">
        <v>2503</v>
      </c>
      <c r="B2514" s="23"/>
      <c r="C2514" s="6" t="s">
        <v>246</v>
      </c>
      <c r="D2514" s="23"/>
      <c r="E2514" s="7">
        <v>263</v>
      </c>
      <c r="F2514" s="2" t="s">
        <v>37</v>
      </c>
      <c r="G2514" s="141">
        <v>120</v>
      </c>
      <c r="H2514" s="165">
        <f>G2514*263</f>
        <v>31560</v>
      </c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56"/>
    </row>
    <row r="2515" spans="1:22" x14ac:dyDescent="0.25">
      <c r="A2515" s="25">
        <v>2504</v>
      </c>
      <c r="B2515" s="23"/>
      <c r="C2515" s="6" t="s">
        <v>247</v>
      </c>
      <c r="D2515" s="23"/>
      <c r="E2515" s="7">
        <v>263</v>
      </c>
      <c r="F2515" s="2" t="s">
        <v>37</v>
      </c>
      <c r="G2515" s="141">
        <v>180</v>
      </c>
      <c r="H2515" s="165">
        <f>G2515*263</f>
        <v>47340</v>
      </c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56"/>
    </row>
    <row r="2516" spans="1:22" x14ac:dyDescent="0.25">
      <c r="A2516" s="25">
        <v>2505</v>
      </c>
      <c r="B2516" s="23"/>
      <c r="C2516" s="14"/>
      <c r="D2516" s="23"/>
      <c r="E2516" s="84"/>
      <c r="F2516" s="23"/>
      <c r="G2516" s="165"/>
      <c r="H2516" s="165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56"/>
    </row>
    <row r="2517" spans="1:22" ht="30" x14ac:dyDescent="0.25">
      <c r="A2517" s="25">
        <v>2506</v>
      </c>
      <c r="B2517" s="89" t="s">
        <v>222</v>
      </c>
      <c r="C2517" s="90" t="s">
        <v>32</v>
      </c>
      <c r="D2517" s="89" t="s">
        <v>27</v>
      </c>
      <c r="E2517" s="89"/>
      <c r="F2517" s="89"/>
      <c r="G2517" s="163"/>
      <c r="H2517" s="167">
        <v>46800</v>
      </c>
      <c r="I2517" s="89" t="s">
        <v>52</v>
      </c>
      <c r="J2517" s="60"/>
      <c r="K2517" s="60">
        <v>2</v>
      </c>
      <c r="L2517" s="60"/>
      <c r="M2517" s="60"/>
      <c r="N2517" s="60"/>
      <c r="O2517" s="60"/>
      <c r="P2517" s="60"/>
      <c r="Q2517" s="60"/>
      <c r="R2517" s="60"/>
      <c r="S2517" s="60"/>
      <c r="T2517" s="60"/>
      <c r="U2517" s="60"/>
      <c r="V2517" s="56"/>
    </row>
    <row r="2518" spans="1:22" ht="28.5" x14ac:dyDescent="0.25">
      <c r="A2518" s="25">
        <v>2507</v>
      </c>
      <c r="B2518" s="23"/>
      <c r="C2518" s="14" t="s">
        <v>681</v>
      </c>
      <c r="D2518" s="23"/>
      <c r="E2518" s="84">
        <v>30</v>
      </c>
      <c r="F2518" s="23" t="s">
        <v>37</v>
      </c>
      <c r="G2518" s="165">
        <v>240</v>
      </c>
      <c r="H2518" s="165">
        <v>7200</v>
      </c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56"/>
    </row>
    <row r="2519" spans="1:22" ht="28.5" x14ac:dyDescent="0.25">
      <c r="A2519" s="25">
        <v>2508</v>
      </c>
      <c r="B2519" s="23"/>
      <c r="C2519" s="14" t="s">
        <v>682</v>
      </c>
      <c r="D2519" s="23"/>
      <c r="E2519" s="84">
        <v>30</v>
      </c>
      <c r="F2519" s="23" t="s">
        <v>37</v>
      </c>
      <c r="G2519" s="165">
        <v>240</v>
      </c>
      <c r="H2519" s="165">
        <v>7200</v>
      </c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56"/>
    </row>
    <row r="2520" spans="1:22" ht="28.5" x14ac:dyDescent="0.25">
      <c r="A2520" s="25">
        <v>2509</v>
      </c>
      <c r="B2520" s="23"/>
      <c r="C2520" s="14" t="s">
        <v>683</v>
      </c>
      <c r="D2520" s="23"/>
      <c r="E2520" s="84">
        <v>30</v>
      </c>
      <c r="F2520" s="23" t="s">
        <v>37</v>
      </c>
      <c r="G2520" s="165">
        <v>120</v>
      </c>
      <c r="H2520" s="165">
        <v>3600</v>
      </c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56"/>
    </row>
    <row r="2521" spans="1:22" ht="28.5" x14ac:dyDescent="0.25">
      <c r="A2521" s="25">
        <v>2510</v>
      </c>
      <c r="B2521" s="23"/>
      <c r="C2521" s="14" t="s">
        <v>684</v>
      </c>
      <c r="D2521" s="23"/>
      <c r="E2521" s="84">
        <v>30</v>
      </c>
      <c r="F2521" s="23" t="s">
        <v>37</v>
      </c>
      <c r="G2521" s="165">
        <v>120</v>
      </c>
      <c r="H2521" s="165">
        <v>3600</v>
      </c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56"/>
    </row>
    <row r="2522" spans="1:22" ht="28.5" x14ac:dyDescent="0.25">
      <c r="A2522" s="25">
        <v>2511</v>
      </c>
      <c r="B2522" s="23"/>
      <c r="C2522" s="14" t="s">
        <v>685</v>
      </c>
      <c r="D2522" s="23"/>
      <c r="E2522" s="84">
        <v>30</v>
      </c>
      <c r="F2522" s="23" t="s">
        <v>37</v>
      </c>
      <c r="G2522" s="165">
        <v>240</v>
      </c>
      <c r="H2522" s="165">
        <v>7200</v>
      </c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56"/>
    </row>
    <row r="2523" spans="1:22" ht="28.5" x14ac:dyDescent="0.25">
      <c r="A2523" s="25">
        <v>2512</v>
      </c>
      <c r="B2523" s="23"/>
      <c r="C2523" s="14" t="s">
        <v>686</v>
      </c>
      <c r="D2523" s="23"/>
      <c r="E2523" s="84">
        <v>30</v>
      </c>
      <c r="F2523" s="23" t="s">
        <v>37</v>
      </c>
      <c r="G2523" s="165">
        <v>600</v>
      </c>
      <c r="H2523" s="165">
        <v>18000</v>
      </c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56"/>
    </row>
    <row r="2524" spans="1:22" x14ac:dyDescent="0.25">
      <c r="A2524" s="25">
        <v>2513</v>
      </c>
      <c r="B2524" s="23"/>
      <c r="C2524" s="14"/>
      <c r="D2524" s="23"/>
      <c r="E2524" s="84"/>
      <c r="F2524" s="23"/>
      <c r="G2524" s="165"/>
      <c r="H2524" s="165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56"/>
    </row>
    <row r="2525" spans="1:22" ht="30" x14ac:dyDescent="0.25">
      <c r="A2525" s="25">
        <v>2514</v>
      </c>
      <c r="B2525" s="89" t="s">
        <v>222</v>
      </c>
      <c r="C2525" s="90" t="s">
        <v>98</v>
      </c>
      <c r="D2525" s="89" t="s">
        <v>27</v>
      </c>
      <c r="E2525" s="89"/>
      <c r="F2525" s="89"/>
      <c r="G2525" s="163"/>
      <c r="H2525" s="167">
        <v>2940000</v>
      </c>
      <c r="I2525" s="89" t="s">
        <v>52</v>
      </c>
      <c r="J2525" s="60">
        <v>1</v>
      </c>
      <c r="K2525" s="60">
        <v>2</v>
      </c>
      <c r="L2525" s="60">
        <v>2</v>
      </c>
      <c r="M2525" s="60">
        <v>2</v>
      </c>
      <c r="N2525" s="60">
        <v>2</v>
      </c>
      <c r="O2525" s="60">
        <v>1</v>
      </c>
      <c r="P2525" s="60">
        <v>2</v>
      </c>
      <c r="Q2525" s="60">
        <v>1</v>
      </c>
      <c r="R2525" s="60">
        <v>1</v>
      </c>
      <c r="S2525" s="60">
        <v>1</v>
      </c>
      <c r="T2525" s="60">
        <v>2</v>
      </c>
      <c r="U2525" s="60">
        <v>2</v>
      </c>
      <c r="V2525" s="56"/>
    </row>
    <row r="2526" spans="1:22" x14ac:dyDescent="0.25">
      <c r="A2526" s="25">
        <v>2515</v>
      </c>
      <c r="B2526" s="23"/>
      <c r="C2526" s="14" t="s">
        <v>54</v>
      </c>
      <c r="D2526" s="23"/>
      <c r="E2526" s="84"/>
      <c r="F2526" s="23"/>
      <c r="G2526" s="165"/>
      <c r="H2526" s="165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56"/>
    </row>
    <row r="2527" spans="1:22" x14ac:dyDescent="0.25">
      <c r="A2527" s="25">
        <v>2516</v>
      </c>
      <c r="B2527" s="23"/>
      <c r="C2527" s="4" t="s">
        <v>918</v>
      </c>
      <c r="D2527" s="23"/>
      <c r="E2527" s="36">
        <f>50*140</f>
        <v>7000</v>
      </c>
      <c r="F2527" s="36" t="s">
        <v>37</v>
      </c>
      <c r="G2527" s="48">
        <v>120</v>
      </c>
      <c r="H2527" s="49">
        <f>G2527*E2527</f>
        <v>840000</v>
      </c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56"/>
    </row>
    <row r="2528" spans="1:22" x14ac:dyDescent="0.25">
      <c r="A2528" s="25">
        <v>2517</v>
      </c>
      <c r="B2528" s="23"/>
      <c r="C2528" s="4" t="s">
        <v>919</v>
      </c>
      <c r="D2528" s="23"/>
      <c r="E2528" s="36">
        <f t="shared" ref="E2528:E2529" si="171">50*140</f>
        <v>7000</v>
      </c>
      <c r="F2528" s="36" t="s">
        <v>37</v>
      </c>
      <c r="G2528" s="48">
        <v>180</v>
      </c>
      <c r="H2528" s="49">
        <f t="shared" ref="H2528:H2529" si="172">G2528*E2528</f>
        <v>1260000</v>
      </c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56"/>
    </row>
    <row r="2529" spans="1:22" x14ac:dyDescent="0.25">
      <c r="A2529" s="25">
        <v>2518</v>
      </c>
      <c r="B2529" s="23"/>
      <c r="C2529" s="4" t="s">
        <v>920</v>
      </c>
      <c r="D2529" s="23"/>
      <c r="E2529" s="36">
        <f t="shared" si="171"/>
        <v>7000</v>
      </c>
      <c r="F2529" s="36" t="s">
        <v>37</v>
      </c>
      <c r="G2529" s="48">
        <v>120</v>
      </c>
      <c r="H2529" s="49">
        <f t="shared" si="172"/>
        <v>840000</v>
      </c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56"/>
    </row>
    <row r="2530" spans="1:22" x14ac:dyDescent="0.25">
      <c r="A2530" s="25">
        <v>2519</v>
      </c>
      <c r="B2530" s="23"/>
      <c r="C2530" s="14"/>
      <c r="D2530" s="23"/>
      <c r="E2530" s="84"/>
      <c r="F2530" s="23"/>
      <c r="G2530" s="165"/>
      <c r="H2530" s="165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56"/>
    </row>
    <row r="2531" spans="1:22" ht="30" x14ac:dyDescent="0.25">
      <c r="A2531" s="25">
        <v>2520</v>
      </c>
      <c r="B2531" s="89" t="s">
        <v>222</v>
      </c>
      <c r="C2531" s="90" t="s">
        <v>227</v>
      </c>
      <c r="D2531" s="89" t="s">
        <v>27</v>
      </c>
      <c r="E2531" s="89"/>
      <c r="F2531" s="89"/>
      <c r="G2531" s="163"/>
      <c r="H2531" s="167">
        <v>300000</v>
      </c>
      <c r="I2531" s="89" t="s">
        <v>52</v>
      </c>
      <c r="J2531" s="60"/>
      <c r="K2531" s="60"/>
      <c r="L2531" s="60"/>
      <c r="M2531" s="60">
        <v>2</v>
      </c>
      <c r="N2531" s="60"/>
      <c r="O2531" s="60"/>
      <c r="P2531" s="60">
        <v>2</v>
      </c>
      <c r="Q2531" s="60"/>
      <c r="R2531" s="60"/>
      <c r="S2531" s="60"/>
      <c r="T2531" s="60"/>
      <c r="U2531" s="60"/>
      <c r="V2531" s="56"/>
    </row>
    <row r="2532" spans="1:22" x14ac:dyDescent="0.25">
      <c r="A2532" s="25">
        <v>2521</v>
      </c>
      <c r="B2532" s="23"/>
      <c r="C2532" s="14" t="s">
        <v>228</v>
      </c>
      <c r="D2532" s="23"/>
      <c r="E2532" s="84"/>
      <c r="F2532" s="23"/>
      <c r="G2532" s="165"/>
      <c r="H2532" s="165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56"/>
    </row>
    <row r="2533" spans="1:22" x14ac:dyDescent="0.25">
      <c r="A2533" s="25">
        <v>2522</v>
      </c>
      <c r="B2533" s="23"/>
      <c r="C2533" s="6" t="s">
        <v>1256</v>
      </c>
      <c r="D2533" s="23"/>
      <c r="E2533" s="7">
        <f>100*5</f>
        <v>500</v>
      </c>
      <c r="F2533" s="138" t="s">
        <v>37</v>
      </c>
      <c r="G2533" s="45">
        <v>150</v>
      </c>
      <c r="H2533" s="165">
        <f>G2533*E2533</f>
        <v>75000</v>
      </c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56"/>
    </row>
    <row r="2534" spans="1:22" x14ac:dyDescent="0.25">
      <c r="A2534" s="25">
        <v>2523</v>
      </c>
      <c r="B2534" s="23"/>
      <c r="C2534" s="6" t="s">
        <v>1257</v>
      </c>
      <c r="D2534" s="23"/>
      <c r="E2534" s="7">
        <f t="shared" ref="E2534:E2536" si="173">100*5</f>
        <v>500</v>
      </c>
      <c r="F2534" s="138" t="s">
        <v>37</v>
      </c>
      <c r="G2534" s="45">
        <v>120</v>
      </c>
      <c r="H2534" s="165">
        <f t="shared" ref="H2534:H2536" si="174">G2534*E2534</f>
        <v>60000</v>
      </c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56"/>
    </row>
    <row r="2535" spans="1:22" x14ac:dyDescent="0.25">
      <c r="A2535" s="25">
        <v>2524</v>
      </c>
      <c r="B2535" s="23"/>
      <c r="C2535" s="6" t="s">
        <v>1258</v>
      </c>
      <c r="D2535" s="23"/>
      <c r="E2535" s="7">
        <f t="shared" si="173"/>
        <v>500</v>
      </c>
      <c r="F2535" s="138" t="s">
        <v>37</v>
      </c>
      <c r="G2535" s="45">
        <v>180</v>
      </c>
      <c r="H2535" s="165">
        <f t="shared" si="174"/>
        <v>90000</v>
      </c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56"/>
    </row>
    <row r="2536" spans="1:22" x14ac:dyDescent="0.25">
      <c r="A2536" s="25">
        <v>2525</v>
      </c>
      <c r="B2536" s="23"/>
      <c r="C2536" s="6" t="s">
        <v>1259</v>
      </c>
      <c r="D2536" s="23"/>
      <c r="E2536" s="7">
        <f t="shared" si="173"/>
        <v>500</v>
      </c>
      <c r="F2536" s="138" t="s">
        <v>37</v>
      </c>
      <c r="G2536" s="45">
        <v>120</v>
      </c>
      <c r="H2536" s="165">
        <f t="shared" si="174"/>
        <v>60000</v>
      </c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56"/>
    </row>
    <row r="2537" spans="1:22" x14ac:dyDescent="0.25">
      <c r="A2537" s="25">
        <v>2526</v>
      </c>
      <c r="B2537" s="23"/>
      <c r="C2537" s="6" t="s">
        <v>1260</v>
      </c>
      <c r="D2537" s="23"/>
      <c r="E2537" s="7">
        <f>75*5</f>
        <v>375</v>
      </c>
      <c r="F2537" s="138" t="s">
        <v>37</v>
      </c>
      <c r="G2537" s="45">
        <v>40</v>
      </c>
      <c r="H2537" s="165">
        <f>G2537*E2537</f>
        <v>15000</v>
      </c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56"/>
    </row>
    <row r="2538" spans="1:22" x14ac:dyDescent="0.25">
      <c r="A2538" s="25">
        <v>2527</v>
      </c>
      <c r="B2538" s="23"/>
      <c r="C2538" s="14"/>
      <c r="D2538" s="23"/>
      <c r="E2538" s="84"/>
      <c r="F2538" s="23"/>
      <c r="G2538" s="165"/>
      <c r="H2538" s="165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56"/>
    </row>
    <row r="2539" spans="1:22" ht="30" x14ac:dyDescent="0.25">
      <c r="A2539" s="25">
        <v>2528</v>
      </c>
      <c r="B2539" s="89" t="s">
        <v>222</v>
      </c>
      <c r="C2539" s="90" t="s">
        <v>38</v>
      </c>
      <c r="D2539" s="89" t="s">
        <v>27</v>
      </c>
      <c r="E2539" s="89"/>
      <c r="F2539" s="89"/>
      <c r="G2539" s="163"/>
      <c r="H2539" s="167">
        <v>117000</v>
      </c>
      <c r="I2539" s="89" t="s">
        <v>52</v>
      </c>
      <c r="J2539" s="60"/>
      <c r="K2539" s="60"/>
      <c r="L2539" s="60"/>
      <c r="M2539" s="60">
        <v>2</v>
      </c>
      <c r="N2539" s="60"/>
      <c r="O2539" s="60"/>
      <c r="P2539" s="60"/>
      <c r="Q2539" s="60">
        <v>2</v>
      </c>
      <c r="R2539" s="60"/>
      <c r="S2539" s="60">
        <v>2</v>
      </c>
      <c r="T2539" s="60"/>
      <c r="U2539" s="60"/>
      <c r="V2539" s="56"/>
    </row>
    <row r="2540" spans="1:22" x14ac:dyDescent="0.25">
      <c r="A2540" s="25">
        <v>2529</v>
      </c>
      <c r="B2540" s="23"/>
      <c r="C2540" s="14" t="s">
        <v>54</v>
      </c>
      <c r="D2540" s="23"/>
      <c r="E2540" s="84"/>
      <c r="F2540" s="23"/>
      <c r="G2540" s="165"/>
      <c r="H2540" s="165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56"/>
    </row>
    <row r="2541" spans="1:22" x14ac:dyDescent="0.25">
      <c r="A2541" s="25">
        <v>2530</v>
      </c>
      <c r="B2541" s="23"/>
      <c r="C2541" s="14" t="s">
        <v>1099</v>
      </c>
      <c r="D2541" s="23"/>
      <c r="E2541" s="84"/>
      <c r="F2541" s="23"/>
      <c r="G2541" s="165"/>
      <c r="H2541" s="165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56"/>
    </row>
    <row r="2542" spans="1:22" x14ac:dyDescent="0.25">
      <c r="A2542" s="25">
        <v>2531</v>
      </c>
      <c r="B2542" s="23"/>
      <c r="C2542" s="61" t="s">
        <v>492</v>
      </c>
      <c r="D2542" s="23"/>
      <c r="E2542" s="25">
        <f>10*3</f>
        <v>30</v>
      </c>
      <c r="F2542" s="25" t="s">
        <v>37</v>
      </c>
      <c r="G2542" s="166">
        <v>120</v>
      </c>
      <c r="H2542" s="165">
        <f>G2542*E2542</f>
        <v>3600</v>
      </c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56"/>
    </row>
    <row r="2543" spans="1:22" x14ac:dyDescent="0.25">
      <c r="A2543" s="25">
        <v>2532</v>
      </c>
      <c r="B2543" s="23"/>
      <c r="C2543" s="61" t="s">
        <v>493</v>
      </c>
      <c r="D2543" s="23"/>
      <c r="E2543" s="25">
        <f t="shared" ref="E2543:E2544" si="175">10*3</f>
        <v>30</v>
      </c>
      <c r="F2543" s="25" t="s">
        <v>37</v>
      </c>
      <c r="G2543" s="166">
        <v>180</v>
      </c>
      <c r="H2543" s="165">
        <f t="shared" ref="H2543:H2544" si="176">G2543*E2543</f>
        <v>5400</v>
      </c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56"/>
    </row>
    <row r="2544" spans="1:22" x14ac:dyDescent="0.25">
      <c r="A2544" s="25">
        <v>2533</v>
      </c>
      <c r="B2544" s="23"/>
      <c r="C2544" s="61" t="s">
        <v>494</v>
      </c>
      <c r="D2544" s="23"/>
      <c r="E2544" s="25">
        <f t="shared" si="175"/>
        <v>30</v>
      </c>
      <c r="F2544" s="25" t="s">
        <v>37</v>
      </c>
      <c r="G2544" s="166">
        <v>120</v>
      </c>
      <c r="H2544" s="165">
        <f t="shared" si="176"/>
        <v>3600</v>
      </c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56"/>
    </row>
    <row r="2545" spans="1:22" ht="28.5" x14ac:dyDescent="0.25">
      <c r="A2545" s="25">
        <v>2534</v>
      </c>
      <c r="B2545" s="23"/>
      <c r="C2545" s="14" t="s">
        <v>1100</v>
      </c>
      <c r="D2545" s="23"/>
      <c r="E2545" s="142"/>
      <c r="F2545" s="142"/>
      <c r="G2545" s="193"/>
      <c r="H2545" s="165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56"/>
    </row>
    <row r="2546" spans="1:22" x14ac:dyDescent="0.25">
      <c r="A2546" s="25">
        <v>2535</v>
      </c>
      <c r="B2546" s="23"/>
      <c r="C2546" s="61" t="s">
        <v>861</v>
      </c>
      <c r="D2546" s="23"/>
      <c r="E2546" s="25">
        <f>10*4</f>
        <v>40</v>
      </c>
      <c r="F2546" s="25" t="s">
        <v>37</v>
      </c>
      <c r="G2546" s="166">
        <v>120</v>
      </c>
      <c r="H2546" s="165">
        <f>G2546*E2546</f>
        <v>4800</v>
      </c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56"/>
    </row>
    <row r="2547" spans="1:22" x14ac:dyDescent="0.25">
      <c r="A2547" s="25">
        <v>2536</v>
      </c>
      <c r="B2547" s="23"/>
      <c r="C2547" s="61" t="s">
        <v>862</v>
      </c>
      <c r="D2547" s="23"/>
      <c r="E2547" s="25">
        <f t="shared" ref="E2547:E2548" si="177">10*4</f>
        <v>40</v>
      </c>
      <c r="F2547" s="25" t="s">
        <v>37</v>
      </c>
      <c r="G2547" s="166">
        <v>180</v>
      </c>
      <c r="H2547" s="165">
        <f t="shared" ref="H2547:H2548" si="178">G2547*E2547</f>
        <v>7200</v>
      </c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56"/>
    </row>
    <row r="2548" spans="1:22" x14ac:dyDescent="0.25">
      <c r="A2548" s="25">
        <v>2537</v>
      </c>
      <c r="B2548" s="23"/>
      <c r="C2548" s="61" t="s">
        <v>863</v>
      </c>
      <c r="D2548" s="23"/>
      <c r="E2548" s="25">
        <f t="shared" si="177"/>
        <v>40</v>
      </c>
      <c r="F2548" s="25" t="s">
        <v>37</v>
      </c>
      <c r="G2548" s="166">
        <v>120</v>
      </c>
      <c r="H2548" s="165">
        <f t="shared" si="178"/>
        <v>4800</v>
      </c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56"/>
    </row>
    <row r="2549" spans="1:22" ht="15" x14ac:dyDescent="0.25">
      <c r="A2549" s="25">
        <v>2538</v>
      </c>
      <c r="B2549" s="23"/>
      <c r="C2549" s="14" t="s">
        <v>1101</v>
      </c>
      <c r="D2549" s="23"/>
      <c r="E2549" s="142"/>
      <c r="F2549" s="142"/>
      <c r="G2549" s="193"/>
      <c r="H2549" s="165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56"/>
    </row>
    <row r="2550" spans="1:22" x14ac:dyDescent="0.25">
      <c r="A2550" s="25">
        <v>2539</v>
      </c>
      <c r="B2550" s="23"/>
      <c r="C2550" s="61" t="s">
        <v>492</v>
      </c>
      <c r="D2550" s="23"/>
      <c r="E2550" s="25">
        <f>10*3</f>
        <v>30</v>
      </c>
      <c r="F2550" s="25" t="s">
        <v>37</v>
      </c>
      <c r="G2550" s="166">
        <v>120</v>
      </c>
      <c r="H2550" s="165">
        <f>G2550*E2550</f>
        <v>3600</v>
      </c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56"/>
    </row>
    <row r="2551" spans="1:22" x14ac:dyDescent="0.25">
      <c r="A2551" s="25">
        <v>2540</v>
      </c>
      <c r="B2551" s="23"/>
      <c r="C2551" s="61" t="s">
        <v>493</v>
      </c>
      <c r="D2551" s="23"/>
      <c r="E2551" s="25">
        <f t="shared" ref="E2551:E2552" si="179">10*3</f>
        <v>30</v>
      </c>
      <c r="F2551" s="25" t="s">
        <v>37</v>
      </c>
      <c r="G2551" s="166">
        <v>180</v>
      </c>
      <c r="H2551" s="165">
        <f t="shared" ref="H2551:H2552" si="180">G2551*E2551</f>
        <v>5400</v>
      </c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56"/>
    </row>
    <row r="2552" spans="1:22" x14ac:dyDescent="0.25">
      <c r="A2552" s="25">
        <v>2541</v>
      </c>
      <c r="B2552" s="23"/>
      <c r="C2552" s="61" t="s">
        <v>494</v>
      </c>
      <c r="D2552" s="23"/>
      <c r="E2552" s="25">
        <f t="shared" si="179"/>
        <v>30</v>
      </c>
      <c r="F2552" s="25" t="s">
        <v>37</v>
      </c>
      <c r="G2552" s="166">
        <v>120</v>
      </c>
      <c r="H2552" s="165">
        <f t="shared" si="180"/>
        <v>3600</v>
      </c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56"/>
    </row>
    <row r="2553" spans="1:22" ht="15" x14ac:dyDescent="0.25">
      <c r="A2553" s="25">
        <v>2542</v>
      </c>
      <c r="B2553" s="23"/>
      <c r="C2553" s="23" t="s">
        <v>1102</v>
      </c>
      <c r="D2553" s="23"/>
      <c r="E2553" s="143"/>
      <c r="F2553" s="144"/>
      <c r="G2553" s="193"/>
      <c r="H2553" s="165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56"/>
    </row>
    <row r="2554" spans="1:22" x14ac:dyDescent="0.25">
      <c r="A2554" s="25">
        <v>2543</v>
      </c>
      <c r="B2554" s="23"/>
      <c r="C2554" s="61" t="s">
        <v>1103</v>
      </c>
      <c r="D2554" s="23"/>
      <c r="E2554" s="25">
        <f>8*20</f>
        <v>160</v>
      </c>
      <c r="F2554" s="25" t="s">
        <v>37</v>
      </c>
      <c r="G2554" s="166">
        <v>120</v>
      </c>
      <c r="H2554" s="165">
        <f>G2554*E2554</f>
        <v>19200</v>
      </c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56"/>
    </row>
    <row r="2555" spans="1:22" x14ac:dyDescent="0.25">
      <c r="A2555" s="25">
        <v>2544</v>
      </c>
      <c r="B2555" s="23"/>
      <c r="C2555" s="61" t="s">
        <v>1104</v>
      </c>
      <c r="D2555" s="23"/>
      <c r="E2555" s="25">
        <f t="shared" ref="E2555:E2556" si="181">8*20</f>
        <v>160</v>
      </c>
      <c r="F2555" s="25" t="s">
        <v>37</v>
      </c>
      <c r="G2555" s="166">
        <v>180</v>
      </c>
      <c r="H2555" s="165">
        <f t="shared" ref="H2555:H2556" si="182">G2555*E2555</f>
        <v>28800</v>
      </c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56"/>
    </row>
    <row r="2556" spans="1:22" x14ac:dyDescent="0.25">
      <c r="A2556" s="25">
        <v>2545</v>
      </c>
      <c r="B2556" s="23"/>
      <c r="C2556" s="61" t="s">
        <v>1105</v>
      </c>
      <c r="D2556" s="23"/>
      <c r="E2556" s="25">
        <f t="shared" si="181"/>
        <v>160</v>
      </c>
      <c r="F2556" s="25" t="s">
        <v>37</v>
      </c>
      <c r="G2556" s="166">
        <v>120</v>
      </c>
      <c r="H2556" s="165">
        <f t="shared" si="182"/>
        <v>19200</v>
      </c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56"/>
    </row>
    <row r="2557" spans="1:22" x14ac:dyDescent="0.25">
      <c r="A2557" s="25">
        <v>2546</v>
      </c>
      <c r="B2557" s="23"/>
      <c r="C2557" s="61" t="s">
        <v>504</v>
      </c>
      <c r="D2557" s="23"/>
      <c r="E2557" s="25">
        <v>30</v>
      </c>
      <c r="F2557" s="23" t="s">
        <v>567</v>
      </c>
      <c r="G2557" s="166">
        <v>260</v>
      </c>
      <c r="H2557" s="165">
        <f>G2557*E2557</f>
        <v>7800</v>
      </c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56"/>
    </row>
    <row r="2558" spans="1:22" x14ac:dyDescent="0.25">
      <c r="A2558" s="25">
        <v>2547</v>
      </c>
      <c r="B2558" s="23"/>
      <c r="C2558" s="14"/>
      <c r="D2558" s="23"/>
      <c r="E2558" s="84"/>
      <c r="F2558" s="23"/>
      <c r="G2558" s="165"/>
      <c r="H2558" s="165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56"/>
    </row>
    <row r="2559" spans="1:22" ht="30" x14ac:dyDescent="0.25">
      <c r="A2559" s="25">
        <v>2548</v>
      </c>
      <c r="B2559" s="89" t="s">
        <v>222</v>
      </c>
      <c r="C2559" s="90" t="s">
        <v>46</v>
      </c>
      <c r="D2559" s="89" t="s">
        <v>27</v>
      </c>
      <c r="E2559" s="89"/>
      <c r="F2559" s="89"/>
      <c r="G2559" s="163"/>
      <c r="H2559" s="167">
        <v>856800</v>
      </c>
      <c r="I2559" s="89" t="s">
        <v>52</v>
      </c>
      <c r="J2559" s="60"/>
      <c r="K2559" s="60"/>
      <c r="L2559" s="60"/>
      <c r="M2559" s="60">
        <v>2</v>
      </c>
      <c r="N2559" s="60">
        <v>1</v>
      </c>
      <c r="O2559" s="60">
        <v>2</v>
      </c>
      <c r="P2559" s="60">
        <v>2</v>
      </c>
      <c r="Q2559" s="60">
        <v>1</v>
      </c>
      <c r="R2559" s="60">
        <v>1</v>
      </c>
      <c r="S2559" s="60">
        <v>3</v>
      </c>
      <c r="T2559" s="60"/>
      <c r="U2559" s="60"/>
      <c r="V2559" s="56"/>
    </row>
    <row r="2560" spans="1:22" x14ac:dyDescent="0.25">
      <c r="A2560" s="25">
        <v>2549</v>
      </c>
      <c r="B2560" s="23"/>
      <c r="C2560" s="14" t="s">
        <v>54</v>
      </c>
      <c r="D2560" s="23"/>
      <c r="E2560" s="84"/>
      <c r="F2560" s="23"/>
      <c r="G2560" s="165"/>
      <c r="H2560" s="165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56"/>
    </row>
    <row r="2561" spans="1:22" x14ac:dyDescent="0.25">
      <c r="A2561" s="25">
        <v>2550</v>
      </c>
      <c r="B2561" s="23"/>
      <c r="C2561" s="93" t="s">
        <v>923</v>
      </c>
      <c r="D2561" s="23"/>
      <c r="E2561" s="84"/>
      <c r="F2561" s="23"/>
      <c r="G2561" s="165"/>
      <c r="H2561" s="165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56"/>
    </row>
    <row r="2562" spans="1:22" x14ac:dyDescent="0.25">
      <c r="A2562" s="25">
        <v>2551</v>
      </c>
      <c r="B2562" s="23"/>
      <c r="C2562" s="61" t="s">
        <v>924</v>
      </c>
      <c r="D2562" s="23"/>
      <c r="E2562" s="25">
        <f>30*18*2</f>
        <v>1080</v>
      </c>
      <c r="F2562" s="25" t="s">
        <v>37</v>
      </c>
      <c r="G2562" s="166">
        <v>120</v>
      </c>
      <c r="H2562" s="107">
        <f>G2562*E2562</f>
        <v>129600</v>
      </c>
      <c r="I2562" s="72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56"/>
    </row>
    <row r="2563" spans="1:22" x14ac:dyDescent="0.25">
      <c r="A2563" s="25">
        <v>2552</v>
      </c>
      <c r="B2563" s="23"/>
      <c r="C2563" s="61" t="s">
        <v>925</v>
      </c>
      <c r="D2563" s="23"/>
      <c r="E2563" s="25">
        <f t="shared" ref="E2563:E2564" si="183">30*18*2</f>
        <v>1080</v>
      </c>
      <c r="F2563" s="25" t="s">
        <v>37</v>
      </c>
      <c r="G2563" s="166">
        <v>180</v>
      </c>
      <c r="H2563" s="107">
        <f t="shared" ref="H2563:H2572" si="184">G2563*E2563</f>
        <v>194400</v>
      </c>
      <c r="I2563" s="72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56"/>
    </row>
    <row r="2564" spans="1:22" x14ac:dyDescent="0.25">
      <c r="A2564" s="25">
        <v>2553</v>
      </c>
      <c r="B2564" s="23"/>
      <c r="C2564" s="61" t="s">
        <v>926</v>
      </c>
      <c r="D2564" s="23"/>
      <c r="E2564" s="25">
        <f t="shared" si="183"/>
        <v>1080</v>
      </c>
      <c r="F2564" s="25" t="s">
        <v>37</v>
      </c>
      <c r="G2564" s="166">
        <v>120</v>
      </c>
      <c r="H2564" s="107">
        <f t="shared" si="184"/>
        <v>129600</v>
      </c>
      <c r="I2564" s="72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56"/>
    </row>
    <row r="2565" spans="1:22" ht="15" x14ac:dyDescent="0.25">
      <c r="A2565" s="25">
        <v>2554</v>
      </c>
      <c r="B2565" s="23"/>
      <c r="C2565" s="93" t="s">
        <v>927</v>
      </c>
      <c r="D2565" s="23"/>
      <c r="E2565" s="144"/>
      <c r="F2565" s="144"/>
      <c r="G2565" s="193"/>
      <c r="H2565" s="107"/>
      <c r="I2565" s="72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56"/>
    </row>
    <row r="2566" spans="1:22" x14ac:dyDescent="0.25">
      <c r="A2566" s="25">
        <v>2555</v>
      </c>
      <c r="B2566" s="23"/>
      <c r="C2566" s="61" t="s">
        <v>928</v>
      </c>
      <c r="D2566" s="23"/>
      <c r="E2566" s="25">
        <f>30*11*2</f>
        <v>660</v>
      </c>
      <c r="F2566" s="25" t="s">
        <v>37</v>
      </c>
      <c r="G2566" s="166">
        <v>120</v>
      </c>
      <c r="H2566" s="107">
        <f t="shared" si="184"/>
        <v>79200</v>
      </c>
      <c r="I2566" s="72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56"/>
    </row>
    <row r="2567" spans="1:22" x14ac:dyDescent="0.25">
      <c r="A2567" s="25">
        <v>2556</v>
      </c>
      <c r="B2567" s="23"/>
      <c r="C2567" s="61" t="s">
        <v>929</v>
      </c>
      <c r="D2567" s="23"/>
      <c r="E2567" s="25">
        <f t="shared" ref="E2567:E2568" si="185">30*11*2</f>
        <v>660</v>
      </c>
      <c r="F2567" s="25" t="s">
        <v>37</v>
      </c>
      <c r="G2567" s="166">
        <v>180</v>
      </c>
      <c r="H2567" s="107">
        <f t="shared" si="184"/>
        <v>118800</v>
      </c>
      <c r="I2567" s="72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56"/>
    </row>
    <row r="2568" spans="1:22" x14ac:dyDescent="0.25">
      <c r="A2568" s="25">
        <v>2557</v>
      </c>
      <c r="B2568" s="23"/>
      <c r="C2568" s="61" t="s">
        <v>930</v>
      </c>
      <c r="D2568" s="23"/>
      <c r="E2568" s="25">
        <f t="shared" si="185"/>
        <v>660</v>
      </c>
      <c r="F2568" s="25" t="s">
        <v>37</v>
      </c>
      <c r="G2568" s="166">
        <v>120</v>
      </c>
      <c r="H2568" s="107">
        <f t="shared" si="184"/>
        <v>79200</v>
      </c>
      <c r="I2568" s="72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56"/>
    </row>
    <row r="2569" spans="1:22" x14ac:dyDescent="0.25">
      <c r="A2569" s="25">
        <v>2558</v>
      </c>
      <c r="B2569" s="23"/>
      <c r="C2569" s="93" t="s">
        <v>931</v>
      </c>
      <c r="D2569" s="23"/>
      <c r="E2569" s="25"/>
      <c r="F2569" s="25"/>
      <c r="G2569" s="166"/>
      <c r="H2569" s="107"/>
      <c r="I2569" s="72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56"/>
    </row>
    <row r="2570" spans="1:22" x14ac:dyDescent="0.25">
      <c r="A2570" s="25">
        <v>2559</v>
      </c>
      <c r="B2570" s="23"/>
      <c r="C2570" s="61" t="s">
        <v>932</v>
      </c>
      <c r="D2570" s="23"/>
      <c r="E2570" s="25">
        <f>30*5*2</f>
        <v>300</v>
      </c>
      <c r="F2570" s="25" t="s">
        <v>37</v>
      </c>
      <c r="G2570" s="166">
        <v>120</v>
      </c>
      <c r="H2570" s="107">
        <f t="shared" si="184"/>
        <v>36000</v>
      </c>
      <c r="I2570" s="72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56"/>
    </row>
    <row r="2571" spans="1:22" x14ac:dyDescent="0.25">
      <c r="A2571" s="25">
        <v>2560</v>
      </c>
      <c r="B2571" s="23"/>
      <c r="C2571" s="61" t="s">
        <v>933</v>
      </c>
      <c r="D2571" s="23"/>
      <c r="E2571" s="25">
        <f t="shared" ref="E2571:E2572" si="186">30*5*2</f>
        <v>300</v>
      </c>
      <c r="F2571" s="25" t="s">
        <v>37</v>
      </c>
      <c r="G2571" s="166">
        <v>180</v>
      </c>
      <c r="H2571" s="107">
        <f t="shared" si="184"/>
        <v>54000</v>
      </c>
      <c r="I2571" s="72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56"/>
    </row>
    <row r="2572" spans="1:22" x14ac:dyDescent="0.25">
      <c r="A2572" s="25">
        <v>2561</v>
      </c>
      <c r="B2572" s="23"/>
      <c r="C2572" s="61" t="s">
        <v>934</v>
      </c>
      <c r="D2572" s="23"/>
      <c r="E2572" s="25">
        <f t="shared" si="186"/>
        <v>300</v>
      </c>
      <c r="F2572" s="25" t="s">
        <v>37</v>
      </c>
      <c r="G2572" s="166">
        <v>120</v>
      </c>
      <c r="H2572" s="107">
        <f t="shared" si="184"/>
        <v>36000</v>
      </c>
      <c r="I2572" s="72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56"/>
    </row>
    <row r="2573" spans="1:22" ht="15" x14ac:dyDescent="0.25">
      <c r="A2573" s="25">
        <v>2562</v>
      </c>
      <c r="B2573" s="23"/>
      <c r="C2573" s="14"/>
      <c r="D2573" s="23"/>
      <c r="E2573" s="25"/>
      <c r="F2573" s="25"/>
      <c r="G2573" s="145"/>
      <c r="H2573" s="194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56"/>
    </row>
    <row r="2574" spans="1:22" ht="30" x14ac:dyDescent="0.25">
      <c r="A2574" s="25">
        <v>2563</v>
      </c>
      <c r="B2574" s="89" t="s">
        <v>222</v>
      </c>
      <c r="C2574" s="90" t="s">
        <v>48</v>
      </c>
      <c r="D2574" s="89" t="s">
        <v>27</v>
      </c>
      <c r="E2574" s="89"/>
      <c r="F2574" s="89"/>
      <c r="G2574" s="163"/>
      <c r="H2574" s="167">
        <v>105600</v>
      </c>
      <c r="I2574" s="89" t="s">
        <v>52</v>
      </c>
      <c r="J2574" s="60"/>
      <c r="K2574" s="60"/>
      <c r="L2574" s="60"/>
      <c r="M2574" s="60">
        <v>2</v>
      </c>
      <c r="N2574" s="60"/>
      <c r="O2574" s="60"/>
      <c r="P2574" s="60"/>
      <c r="Q2574" s="60"/>
      <c r="R2574" s="60"/>
      <c r="S2574" s="60"/>
      <c r="T2574" s="60"/>
      <c r="U2574" s="60"/>
      <c r="V2574" s="56"/>
    </row>
    <row r="2575" spans="1:22" ht="28.5" x14ac:dyDescent="0.25">
      <c r="A2575" s="25">
        <v>2564</v>
      </c>
      <c r="B2575" s="23"/>
      <c r="C2575" s="14" t="s">
        <v>687</v>
      </c>
      <c r="D2575" s="23"/>
      <c r="E2575" s="84">
        <v>80</v>
      </c>
      <c r="F2575" s="23" t="s">
        <v>688</v>
      </c>
      <c r="G2575" s="165">
        <v>360</v>
      </c>
      <c r="H2575" s="165">
        <v>28800</v>
      </c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56"/>
    </row>
    <row r="2576" spans="1:22" ht="28.5" x14ac:dyDescent="0.25">
      <c r="A2576" s="25">
        <v>2565</v>
      </c>
      <c r="B2576" s="23"/>
      <c r="C2576" s="14" t="s">
        <v>689</v>
      </c>
      <c r="D2576" s="23"/>
      <c r="E2576" s="84">
        <v>80</v>
      </c>
      <c r="F2576" s="23" t="s">
        <v>37</v>
      </c>
      <c r="G2576" s="165">
        <v>360</v>
      </c>
      <c r="H2576" s="165">
        <v>28800</v>
      </c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56"/>
    </row>
    <row r="2577" spans="1:22" ht="28.5" x14ac:dyDescent="0.25">
      <c r="A2577" s="25">
        <v>2566</v>
      </c>
      <c r="B2577" s="23"/>
      <c r="C2577" s="14" t="s">
        <v>690</v>
      </c>
      <c r="D2577" s="23"/>
      <c r="E2577" s="84">
        <v>80</v>
      </c>
      <c r="F2577" s="23" t="s">
        <v>37</v>
      </c>
      <c r="G2577" s="165">
        <v>600</v>
      </c>
      <c r="H2577" s="165">
        <v>48000</v>
      </c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56"/>
    </row>
    <row r="2578" spans="1:22" x14ac:dyDescent="0.25">
      <c r="A2578" s="25">
        <v>2567</v>
      </c>
      <c r="B2578" s="23"/>
      <c r="C2578" s="14"/>
      <c r="D2578" s="23"/>
      <c r="E2578" s="8"/>
      <c r="F2578" s="8"/>
      <c r="G2578" s="178"/>
      <c r="H2578" s="165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56"/>
    </row>
    <row r="2579" spans="1:22" ht="27" customHeight="1" x14ac:dyDescent="0.25">
      <c r="A2579" s="25">
        <v>2568</v>
      </c>
      <c r="B2579" s="89" t="s">
        <v>222</v>
      </c>
      <c r="C2579" s="90" t="s">
        <v>72</v>
      </c>
      <c r="D2579" s="89" t="s">
        <v>27</v>
      </c>
      <c r="E2579" s="89"/>
      <c r="F2579" s="89"/>
      <c r="G2579" s="163"/>
      <c r="H2579" s="167">
        <v>15727815</v>
      </c>
      <c r="I2579" s="89" t="s">
        <v>52</v>
      </c>
      <c r="J2579" s="60"/>
      <c r="K2579" s="60"/>
      <c r="L2579" s="60"/>
      <c r="M2579" s="60"/>
      <c r="N2579" s="60">
        <v>2</v>
      </c>
      <c r="O2579" s="60">
        <v>2</v>
      </c>
      <c r="P2579" s="60">
        <v>2</v>
      </c>
      <c r="Q2579" s="60">
        <v>2</v>
      </c>
      <c r="R2579" s="60">
        <v>2</v>
      </c>
      <c r="S2579" s="60">
        <v>2</v>
      </c>
      <c r="T2579" s="60">
        <v>2</v>
      </c>
      <c r="U2579" s="60">
        <v>2</v>
      </c>
      <c r="V2579" s="56"/>
    </row>
    <row r="2580" spans="1:22" x14ac:dyDescent="0.25">
      <c r="A2580" s="25">
        <v>2569</v>
      </c>
      <c r="B2580" s="23"/>
      <c r="C2580" s="14" t="s">
        <v>54</v>
      </c>
      <c r="D2580" s="23"/>
      <c r="E2580" s="84"/>
      <c r="F2580" s="23"/>
      <c r="G2580" s="165"/>
      <c r="H2580" s="165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56"/>
    </row>
    <row r="2581" spans="1:22" x14ac:dyDescent="0.25">
      <c r="A2581" s="25">
        <v>2570</v>
      </c>
      <c r="B2581" s="23"/>
      <c r="C2581" s="14" t="s">
        <v>1379</v>
      </c>
      <c r="D2581" s="23"/>
      <c r="E2581" s="84"/>
      <c r="F2581" s="23"/>
      <c r="G2581" s="165"/>
      <c r="H2581" s="165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56"/>
    </row>
    <row r="2582" spans="1:22" x14ac:dyDescent="0.25">
      <c r="A2582" s="25">
        <v>2571</v>
      </c>
      <c r="B2582" s="23"/>
      <c r="C2582" s="6" t="s">
        <v>1377</v>
      </c>
      <c r="D2582" s="1"/>
      <c r="E2582" s="7">
        <v>1310</v>
      </c>
      <c r="F2582" s="7" t="s">
        <v>37</v>
      </c>
      <c r="G2582" s="18">
        <v>360</v>
      </c>
      <c r="H2582" s="165">
        <f>G2582*E2582</f>
        <v>471600</v>
      </c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56"/>
    </row>
    <row r="2583" spans="1:22" x14ac:dyDescent="0.25">
      <c r="A2583" s="25">
        <v>2572</v>
      </c>
      <c r="B2583" s="23"/>
      <c r="C2583" s="6" t="s">
        <v>1378</v>
      </c>
      <c r="D2583" s="1"/>
      <c r="E2583" s="7">
        <v>1310</v>
      </c>
      <c r="F2583" s="7" t="s">
        <v>37</v>
      </c>
      <c r="G2583" s="18">
        <v>930</v>
      </c>
      <c r="H2583" s="165">
        <f>G2583*E2583</f>
        <v>1218300</v>
      </c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56"/>
    </row>
    <row r="2584" spans="1:22" x14ac:dyDescent="0.25">
      <c r="A2584" s="25">
        <v>2573</v>
      </c>
      <c r="B2584" s="23"/>
      <c r="C2584" s="6" t="s">
        <v>504</v>
      </c>
      <c r="D2584" s="1"/>
      <c r="E2584" s="7">
        <v>25</v>
      </c>
      <c r="F2584" s="23" t="s">
        <v>567</v>
      </c>
      <c r="G2584" s="18">
        <v>329.4</v>
      </c>
      <c r="H2584" s="165">
        <f>G2584*E2584</f>
        <v>8235</v>
      </c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56"/>
    </row>
    <row r="2585" spans="1:22" x14ac:dyDescent="0.25">
      <c r="A2585" s="25">
        <v>2574</v>
      </c>
      <c r="B2585" s="23"/>
      <c r="C2585" s="14" t="s">
        <v>1372</v>
      </c>
      <c r="D2585" s="23"/>
      <c r="E2585" s="1"/>
      <c r="F2585" s="1"/>
      <c r="G2585" s="178"/>
      <c r="H2585" s="165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56"/>
    </row>
    <row r="2586" spans="1:22" x14ac:dyDescent="0.25">
      <c r="A2586" s="25">
        <v>2575</v>
      </c>
      <c r="B2586" s="23"/>
      <c r="C2586" s="11" t="s">
        <v>1380</v>
      </c>
      <c r="D2586" s="23"/>
      <c r="E2586" s="2">
        <f>92*10*15</f>
        <v>13800</v>
      </c>
      <c r="F2586" s="2" t="s">
        <v>37</v>
      </c>
      <c r="G2586" s="118">
        <v>120</v>
      </c>
      <c r="H2586" s="165">
        <f>E2586*G2586</f>
        <v>1656000</v>
      </c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56"/>
    </row>
    <row r="2587" spans="1:22" x14ac:dyDescent="0.25">
      <c r="A2587" s="25">
        <v>2576</v>
      </c>
      <c r="B2587" s="23"/>
      <c r="C2587" s="11" t="s">
        <v>502</v>
      </c>
      <c r="D2587" s="1"/>
      <c r="E2587" s="2">
        <f>94*10*16</f>
        <v>15040</v>
      </c>
      <c r="F2587" s="2" t="s">
        <v>37</v>
      </c>
      <c r="G2587" s="118">
        <v>180</v>
      </c>
      <c r="H2587" s="165">
        <f>E2587*G2587</f>
        <v>2707200</v>
      </c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56"/>
    </row>
    <row r="2588" spans="1:22" x14ac:dyDescent="0.25">
      <c r="A2588" s="25">
        <v>2577</v>
      </c>
      <c r="B2588" s="23"/>
      <c r="C2588" s="11" t="s">
        <v>892</v>
      </c>
      <c r="D2588" s="1"/>
      <c r="E2588" s="2">
        <f>94*10*16</f>
        <v>15040</v>
      </c>
      <c r="F2588" s="2" t="s">
        <v>37</v>
      </c>
      <c r="G2588" s="118">
        <v>120</v>
      </c>
      <c r="H2588" s="165">
        <f>E2588*G2588</f>
        <v>1804800</v>
      </c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56"/>
    </row>
    <row r="2589" spans="1:22" x14ac:dyDescent="0.25">
      <c r="A2589" s="25">
        <v>2578</v>
      </c>
      <c r="B2589" s="23"/>
      <c r="C2589" s="14" t="s">
        <v>1376</v>
      </c>
      <c r="D2589" s="1"/>
      <c r="E2589" s="1"/>
      <c r="F2589" s="1"/>
      <c r="G2589" s="188"/>
      <c r="H2589" s="165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56"/>
    </row>
    <row r="2590" spans="1:22" x14ac:dyDescent="0.25">
      <c r="A2590" s="25">
        <v>2579</v>
      </c>
      <c r="B2590" s="23"/>
      <c r="C2590" s="11" t="s">
        <v>246</v>
      </c>
      <c r="D2590" s="23"/>
      <c r="E2590" s="2">
        <f>179*12*9</f>
        <v>19332</v>
      </c>
      <c r="F2590" s="2" t="s">
        <v>37</v>
      </c>
      <c r="G2590" s="118">
        <v>120</v>
      </c>
      <c r="H2590" s="165">
        <f>G2590*E2590</f>
        <v>2319840</v>
      </c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56"/>
    </row>
    <row r="2591" spans="1:22" x14ac:dyDescent="0.25">
      <c r="A2591" s="25">
        <v>2580</v>
      </c>
      <c r="B2591" s="23"/>
      <c r="C2591" s="11" t="s">
        <v>346</v>
      </c>
      <c r="D2591" s="23"/>
      <c r="E2591" s="2">
        <f t="shared" ref="E2591" si="187">179*12*9</f>
        <v>19332</v>
      </c>
      <c r="F2591" s="2" t="s">
        <v>37</v>
      </c>
      <c r="G2591" s="118">
        <v>180</v>
      </c>
      <c r="H2591" s="165">
        <f t="shared" ref="H2591:H2592" si="188">G2591*E2591</f>
        <v>3479760</v>
      </c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56"/>
    </row>
    <row r="2592" spans="1:22" x14ac:dyDescent="0.25">
      <c r="A2592" s="25">
        <v>2581</v>
      </c>
      <c r="B2592" s="23"/>
      <c r="C2592" s="11" t="s">
        <v>892</v>
      </c>
      <c r="D2592" s="23"/>
      <c r="E2592" s="2">
        <f>179*12*8</f>
        <v>17184</v>
      </c>
      <c r="F2592" s="2" t="s">
        <v>37</v>
      </c>
      <c r="G2592" s="118">
        <v>120</v>
      </c>
      <c r="H2592" s="165">
        <f t="shared" si="188"/>
        <v>2062080</v>
      </c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56"/>
    </row>
    <row r="2593" spans="1:22" x14ac:dyDescent="0.25">
      <c r="A2593" s="25">
        <v>2582</v>
      </c>
      <c r="B2593" s="23"/>
      <c r="C2593" s="14"/>
      <c r="D2593" s="23"/>
      <c r="E2593" s="84"/>
      <c r="F2593" s="23"/>
      <c r="G2593" s="165"/>
      <c r="H2593" s="165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56"/>
    </row>
    <row r="2594" spans="1:22" ht="24" customHeight="1" x14ac:dyDescent="0.25">
      <c r="A2594" s="25">
        <v>2583</v>
      </c>
      <c r="B2594" s="89" t="s">
        <v>222</v>
      </c>
      <c r="C2594" s="90" t="s">
        <v>107</v>
      </c>
      <c r="D2594" s="89" t="s">
        <v>27</v>
      </c>
      <c r="E2594" s="89"/>
      <c r="F2594" s="89"/>
      <c r="G2594" s="163"/>
      <c r="H2594" s="167">
        <v>873600</v>
      </c>
      <c r="I2594" s="89" t="s">
        <v>52</v>
      </c>
      <c r="J2594" s="60">
        <v>1</v>
      </c>
      <c r="K2594" s="60">
        <v>3</v>
      </c>
      <c r="L2594" s="60">
        <v>3</v>
      </c>
      <c r="M2594" s="60">
        <v>2</v>
      </c>
      <c r="N2594" s="60">
        <v>1</v>
      </c>
      <c r="O2594" s="60">
        <v>2</v>
      </c>
      <c r="P2594" s="60">
        <v>3</v>
      </c>
      <c r="Q2594" s="60">
        <v>2</v>
      </c>
      <c r="R2594" s="60">
        <v>1</v>
      </c>
      <c r="S2594" s="60">
        <v>2</v>
      </c>
      <c r="T2594" s="60">
        <v>3</v>
      </c>
      <c r="U2594" s="60">
        <v>1</v>
      </c>
      <c r="V2594" s="56"/>
    </row>
    <row r="2595" spans="1:22" x14ac:dyDescent="0.25">
      <c r="A2595" s="25">
        <v>2584</v>
      </c>
      <c r="B2595" s="23"/>
      <c r="C2595" s="14" t="s">
        <v>54</v>
      </c>
      <c r="D2595" s="23"/>
      <c r="E2595" s="84"/>
      <c r="F2595" s="23"/>
      <c r="G2595" s="165"/>
      <c r="H2595" s="165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56"/>
    </row>
    <row r="2596" spans="1:22" x14ac:dyDescent="0.25">
      <c r="A2596" s="25">
        <v>2585</v>
      </c>
      <c r="B2596" s="23"/>
      <c r="C2596" s="1" t="s">
        <v>1029</v>
      </c>
      <c r="D2596" s="23"/>
      <c r="E2596" s="8">
        <f>65*32</f>
        <v>2080</v>
      </c>
      <c r="F2596" s="8" t="s">
        <v>37</v>
      </c>
      <c r="G2596" s="47">
        <v>120</v>
      </c>
      <c r="H2596" s="165">
        <f>G2596*E2596</f>
        <v>249600</v>
      </c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56"/>
    </row>
    <row r="2597" spans="1:22" x14ac:dyDescent="0.25">
      <c r="A2597" s="25">
        <v>2586</v>
      </c>
      <c r="B2597" s="23"/>
      <c r="C2597" s="1" t="s">
        <v>1030</v>
      </c>
      <c r="D2597" s="23"/>
      <c r="E2597" s="8">
        <f t="shared" ref="E2597:E2598" si="189">65*32</f>
        <v>2080</v>
      </c>
      <c r="F2597" s="8" t="s">
        <v>37</v>
      </c>
      <c r="G2597" s="47">
        <v>180</v>
      </c>
      <c r="H2597" s="165">
        <f t="shared" ref="H2597:H2598" si="190">G2597*E2597</f>
        <v>374400</v>
      </c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56"/>
    </row>
    <row r="2598" spans="1:22" x14ac:dyDescent="0.25">
      <c r="A2598" s="25">
        <v>2587</v>
      </c>
      <c r="B2598" s="23"/>
      <c r="C2598" s="1" t="s">
        <v>1031</v>
      </c>
      <c r="D2598" s="23"/>
      <c r="E2598" s="8">
        <f t="shared" si="189"/>
        <v>2080</v>
      </c>
      <c r="F2598" s="8" t="s">
        <v>37</v>
      </c>
      <c r="G2598" s="47">
        <v>120</v>
      </c>
      <c r="H2598" s="165">
        <f t="shared" si="190"/>
        <v>249600</v>
      </c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56"/>
    </row>
    <row r="2599" spans="1:22" x14ac:dyDescent="0.25">
      <c r="A2599" s="25">
        <v>2588</v>
      </c>
      <c r="B2599" s="23"/>
      <c r="C2599" s="14"/>
      <c r="D2599" s="23"/>
      <c r="E2599" s="84"/>
      <c r="F2599" s="23"/>
      <c r="G2599" s="165"/>
      <c r="H2599" s="165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56"/>
    </row>
    <row r="2600" spans="1:22" ht="22.5" customHeight="1" x14ac:dyDescent="0.25">
      <c r="A2600" s="25">
        <v>2589</v>
      </c>
      <c r="B2600" s="89" t="s">
        <v>222</v>
      </c>
      <c r="C2600" s="90" t="s">
        <v>116</v>
      </c>
      <c r="D2600" s="89" t="s">
        <v>27</v>
      </c>
      <c r="E2600" s="89"/>
      <c r="F2600" s="89"/>
      <c r="G2600" s="163"/>
      <c r="H2600" s="167">
        <v>148999.92000000001</v>
      </c>
      <c r="I2600" s="89" t="s">
        <v>52</v>
      </c>
      <c r="J2600" s="60">
        <v>1</v>
      </c>
      <c r="K2600" s="60">
        <v>2</v>
      </c>
      <c r="L2600" s="60">
        <v>2</v>
      </c>
      <c r="M2600" s="60">
        <v>2</v>
      </c>
      <c r="N2600" s="60">
        <v>1</v>
      </c>
      <c r="O2600" s="60">
        <v>2</v>
      </c>
      <c r="P2600" s="60">
        <v>3</v>
      </c>
      <c r="Q2600" s="60">
        <v>1</v>
      </c>
      <c r="R2600" s="60">
        <v>1</v>
      </c>
      <c r="S2600" s="60">
        <v>2</v>
      </c>
      <c r="T2600" s="60">
        <v>2</v>
      </c>
      <c r="U2600" s="60">
        <v>2</v>
      </c>
      <c r="V2600" s="56"/>
    </row>
    <row r="2601" spans="1:22" x14ac:dyDescent="0.25">
      <c r="A2601" s="25">
        <v>2590</v>
      </c>
      <c r="B2601" s="23"/>
      <c r="C2601" s="14" t="s">
        <v>1418</v>
      </c>
      <c r="D2601" s="23"/>
      <c r="E2601" s="84"/>
      <c r="F2601" s="23"/>
      <c r="G2601" s="165"/>
      <c r="H2601" s="165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56"/>
    </row>
    <row r="2602" spans="1:22" x14ac:dyDescent="0.25">
      <c r="A2602" s="25">
        <v>2591</v>
      </c>
      <c r="B2602" s="23"/>
      <c r="C2602" s="135" t="s">
        <v>246</v>
      </c>
      <c r="D2602" s="23"/>
      <c r="E2602" s="126">
        <f>25*12</f>
        <v>300</v>
      </c>
      <c r="F2602" s="126" t="s">
        <v>37</v>
      </c>
      <c r="G2602" s="182">
        <v>120</v>
      </c>
      <c r="H2602" s="165">
        <f>G2602*E2602</f>
        <v>36000</v>
      </c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56"/>
    </row>
    <row r="2603" spans="1:22" x14ac:dyDescent="0.25">
      <c r="A2603" s="25">
        <v>2592</v>
      </c>
      <c r="B2603" s="23"/>
      <c r="C2603" s="135" t="s">
        <v>264</v>
      </c>
      <c r="D2603" s="23"/>
      <c r="E2603" s="126">
        <f t="shared" ref="E2603:E2604" si="191">25*12</f>
        <v>300</v>
      </c>
      <c r="F2603" s="126" t="s">
        <v>37</v>
      </c>
      <c r="G2603" s="182">
        <v>180</v>
      </c>
      <c r="H2603" s="165">
        <f t="shared" ref="H2603:H2605" si="192">G2603*E2603</f>
        <v>54000</v>
      </c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56"/>
    </row>
    <row r="2604" spans="1:22" x14ac:dyDescent="0.25">
      <c r="A2604" s="25">
        <v>2593</v>
      </c>
      <c r="B2604" s="23"/>
      <c r="C2604" s="135" t="s">
        <v>1108</v>
      </c>
      <c r="D2604" s="23"/>
      <c r="E2604" s="126">
        <f t="shared" si="191"/>
        <v>300</v>
      </c>
      <c r="F2604" s="126" t="s">
        <v>37</v>
      </c>
      <c r="G2604" s="182">
        <v>120</v>
      </c>
      <c r="H2604" s="165">
        <f t="shared" si="192"/>
        <v>36000</v>
      </c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56"/>
    </row>
    <row r="2605" spans="1:22" x14ac:dyDescent="0.25">
      <c r="A2605" s="25">
        <v>2594</v>
      </c>
      <c r="B2605" s="23"/>
      <c r="C2605" s="32" t="s">
        <v>1109</v>
      </c>
      <c r="D2605" s="23"/>
      <c r="E2605" s="126">
        <f>24*4</f>
        <v>96</v>
      </c>
      <c r="F2605" s="23" t="s">
        <v>567</v>
      </c>
      <c r="G2605" s="182">
        <v>239.58250000000001</v>
      </c>
      <c r="H2605" s="165">
        <f t="shared" si="192"/>
        <v>22999.920000000002</v>
      </c>
      <c r="I2605" s="72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56"/>
    </row>
    <row r="2606" spans="1:22" x14ac:dyDescent="0.25">
      <c r="A2606" s="25">
        <v>2595</v>
      </c>
      <c r="B2606" s="23"/>
      <c r="C2606" s="14"/>
      <c r="D2606" s="23"/>
      <c r="E2606" s="84"/>
      <c r="F2606" s="23"/>
      <c r="G2606" s="165"/>
      <c r="H2606" s="165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56"/>
    </row>
    <row r="2607" spans="1:22" ht="30" x14ac:dyDescent="0.25">
      <c r="A2607" s="25">
        <v>2596</v>
      </c>
      <c r="B2607" s="89" t="s">
        <v>222</v>
      </c>
      <c r="C2607" s="90" t="s">
        <v>168</v>
      </c>
      <c r="D2607" s="89" t="s">
        <v>27</v>
      </c>
      <c r="E2607" s="89"/>
      <c r="F2607" s="89"/>
      <c r="G2607" s="163"/>
      <c r="H2607" s="167">
        <v>1954200</v>
      </c>
      <c r="I2607" s="89" t="s">
        <v>52</v>
      </c>
      <c r="J2607" s="60"/>
      <c r="K2607" s="60"/>
      <c r="L2607" s="60"/>
      <c r="M2607" s="60"/>
      <c r="N2607" s="60"/>
      <c r="O2607" s="60"/>
      <c r="P2607" s="60"/>
      <c r="Q2607" s="60"/>
      <c r="R2607" s="60"/>
      <c r="S2607" s="60"/>
      <c r="T2607" s="60"/>
      <c r="U2607" s="60"/>
      <c r="V2607" s="56"/>
    </row>
    <row r="2608" spans="1:22" x14ac:dyDescent="0.25">
      <c r="A2608" s="25">
        <v>2597</v>
      </c>
      <c r="B2608" s="23"/>
      <c r="C2608" s="14" t="s">
        <v>465</v>
      </c>
      <c r="D2608" s="23"/>
      <c r="E2608" s="84"/>
      <c r="F2608" s="23"/>
      <c r="G2608" s="165"/>
      <c r="H2608" s="165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56"/>
    </row>
    <row r="2609" spans="1:22" x14ac:dyDescent="0.25">
      <c r="A2609" s="25">
        <v>2598</v>
      </c>
      <c r="B2609" s="23"/>
      <c r="C2609" s="137" t="s">
        <v>1242</v>
      </c>
      <c r="D2609" s="23"/>
      <c r="E2609" s="112">
        <f>350*2</f>
        <v>700</v>
      </c>
      <c r="F2609" s="112" t="s">
        <v>37</v>
      </c>
      <c r="G2609" s="113">
        <v>250</v>
      </c>
      <c r="H2609" s="165">
        <f>G2609*E2609</f>
        <v>175000</v>
      </c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56"/>
    </row>
    <row r="2610" spans="1:22" x14ac:dyDescent="0.25">
      <c r="A2610" s="25">
        <v>2599</v>
      </c>
      <c r="B2610" s="23"/>
      <c r="C2610" s="111" t="s">
        <v>1243</v>
      </c>
      <c r="D2610" s="23"/>
      <c r="E2610" s="112">
        <f t="shared" ref="E2610:E2611" si="193">350*2</f>
        <v>700</v>
      </c>
      <c r="F2610" s="112" t="s">
        <v>37</v>
      </c>
      <c r="G2610" s="113">
        <v>220</v>
      </c>
      <c r="H2610" s="165">
        <f t="shared" ref="H2610:H2617" si="194">G2610*E2610</f>
        <v>154000</v>
      </c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56"/>
    </row>
    <row r="2611" spans="1:22" x14ac:dyDescent="0.25">
      <c r="A2611" s="25">
        <v>2600</v>
      </c>
      <c r="B2611" s="23"/>
      <c r="C2611" s="111" t="s">
        <v>1244</v>
      </c>
      <c r="D2611" s="23"/>
      <c r="E2611" s="112">
        <f t="shared" si="193"/>
        <v>700</v>
      </c>
      <c r="F2611" s="112" t="s">
        <v>37</v>
      </c>
      <c r="G2611" s="113">
        <v>400</v>
      </c>
      <c r="H2611" s="165">
        <f t="shared" si="194"/>
        <v>280000</v>
      </c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56"/>
    </row>
    <row r="2612" spans="1:22" x14ac:dyDescent="0.25">
      <c r="A2612" s="25">
        <v>2601</v>
      </c>
      <c r="B2612" s="23"/>
      <c r="C2612" s="111" t="s">
        <v>1245</v>
      </c>
      <c r="D2612" s="23"/>
      <c r="E2612" s="112">
        <f>30*2</f>
        <v>60</v>
      </c>
      <c r="F2612" s="23" t="s">
        <v>567</v>
      </c>
      <c r="G2612" s="113">
        <v>450</v>
      </c>
      <c r="H2612" s="165">
        <f t="shared" si="194"/>
        <v>27000</v>
      </c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56"/>
    </row>
    <row r="2613" spans="1:22" x14ac:dyDescent="0.25">
      <c r="A2613" s="25">
        <v>2602</v>
      </c>
      <c r="B2613" s="23"/>
      <c r="C2613" s="111" t="s">
        <v>1246</v>
      </c>
      <c r="D2613" s="23"/>
      <c r="E2613" s="112">
        <f>28*2</f>
        <v>56</v>
      </c>
      <c r="F2613" s="23" t="s">
        <v>567</v>
      </c>
      <c r="G2613" s="113">
        <v>1200</v>
      </c>
      <c r="H2613" s="165">
        <f t="shared" si="194"/>
        <v>67200</v>
      </c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56"/>
    </row>
    <row r="2614" spans="1:22" x14ac:dyDescent="0.25">
      <c r="A2614" s="25">
        <v>2603</v>
      </c>
      <c r="B2614" s="23"/>
      <c r="C2614" s="111" t="s">
        <v>1247</v>
      </c>
      <c r="D2614" s="23"/>
      <c r="E2614" s="112">
        <f>350*2</f>
        <v>700</v>
      </c>
      <c r="F2614" s="112" t="s">
        <v>37</v>
      </c>
      <c r="G2614" s="113">
        <v>500</v>
      </c>
      <c r="H2614" s="165">
        <f t="shared" si="194"/>
        <v>350000</v>
      </c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56"/>
    </row>
    <row r="2615" spans="1:22" x14ac:dyDescent="0.25">
      <c r="A2615" s="25">
        <v>2604</v>
      </c>
      <c r="B2615" s="23"/>
      <c r="C2615" s="111" t="s">
        <v>1248</v>
      </c>
      <c r="D2615" s="23"/>
      <c r="E2615" s="112">
        <f t="shared" ref="E2615:E2616" si="195">350*2</f>
        <v>700</v>
      </c>
      <c r="F2615" s="112" t="s">
        <v>37</v>
      </c>
      <c r="G2615" s="113">
        <v>400</v>
      </c>
      <c r="H2615" s="165">
        <f t="shared" si="194"/>
        <v>280000</v>
      </c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56"/>
    </row>
    <row r="2616" spans="1:22" x14ac:dyDescent="0.25">
      <c r="A2616" s="25">
        <v>2605</v>
      </c>
      <c r="B2616" s="23"/>
      <c r="C2616" s="111" t="s">
        <v>1249</v>
      </c>
      <c r="D2616" s="23"/>
      <c r="E2616" s="112">
        <f t="shared" si="195"/>
        <v>700</v>
      </c>
      <c r="F2616" s="112" t="s">
        <v>37</v>
      </c>
      <c r="G2616" s="113">
        <v>450</v>
      </c>
      <c r="H2616" s="165">
        <f t="shared" si="194"/>
        <v>315000</v>
      </c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56"/>
    </row>
    <row r="2617" spans="1:22" x14ac:dyDescent="0.25">
      <c r="A2617" s="25">
        <v>2606</v>
      </c>
      <c r="B2617" s="23"/>
      <c r="C2617" s="111" t="s">
        <v>1250</v>
      </c>
      <c r="D2617" s="23"/>
      <c r="E2617" s="112">
        <f>85*2</f>
        <v>170</v>
      </c>
      <c r="F2617" s="8" t="s">
        <v>152</v>
      </c>
      <c r="G2617" s="113">
        <v>1800</v>
      </c>
      <c r="H2617" s="165">
        <f t="shared" si="194"/>
        <v>306000</v>
      </c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56"/>
    </row>
    <row r="2618" spans="1:22" x14ac:dyDescent="0.25">
      <c r="A2618" s="25">
        <v>2607</v>
      </c>
      <c r="B2618" s="23"/>
      <c r="C2618" s="14"/>
      <c r="D2618" s="23"/>
      <c r="E2618" s="84"/>
      <c r="F2618" s="23"/>
      <c r="G2618" s="165"/>
      <c r="H2618" s="165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56"/>
    </row>
    <row r="2619" spans="1:22" ht="30" x14ac:dyDescent="0.25">
      <c r="A2619" s="25">
        <v>2608</v>
      </c>
      <c r="B2619" s="89" t="s">
        <v>222</v>
      </c>
      <c r="C2619" s="90" t="s">
        <v>229</v>
      </c>
      <c r="D2619" s="89" t="s">
        <v>27</v>
      </c>
      <c r="E2619" s="89"/>
      <c r="F2619" s="89"/>
      <c r="G2619" s="163"/>
      <c r="H2619" s="167">
        <v>127200</v>
      </c>
      <c r="I2619" s="89" t="s">
        <v>52</v>
      </c>
      <c r="J2619" s="60"/>
      <c r="K2619" s="60"/>
      <c r="L2619" s="60"/>
      <c r="M2619" s="60">
        <v>1</v>
      </c>
      <c r="N2619" s="60"/>
      <c r="O2619" s="60"/>
      <c r="P2619" s="60">
        <v>2</v>
      </c>
      <c r="Q2619" s="60"/>
      <c r="R2619" s="60"/>
      <c r="S2619" s="60"/>
      <c r="T2619" s="60"/>
      <c r="U2619" s="60"/>
      <c r="V2619" s="56"/>
    </row>
    <row r="2620" spans="1:22" x14ac:dyDescent="0.25">
      <c r="A2620" s="25">
        <v>2609</v>
      </c>
      <c r="B2620" s="23"/>
      <c r="C2620" s="14" t="s">
        <v>54</v>
      </c>
      <c r="D2620" s="23"/>
      <c r="E2620" s="84"/>
      <c r="F2620" s="23"/>
      <c r="G2620" s="165"/>
      <c r="H2620" s="165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56"/>
    </row>
    <row r="2621" spans="1:22" x14ac:dyDescent="0.25">
      <c r="A2621" s="25">
        <v>2610</v>
      </c>
      <c r="B2621" s="23"/>
      <c r="C2621" s="14" t="s">
        <v>247</v>
      </c>
      <c r="D2621" s="23"/>
      <c r="E2621" s="33">
        <f>25*8</f>
        <v>200</v>
      </c>
      <c r="F2621" s="33" t="s">
        <v>37</v>
      </c>
      <c r="G2621" s="15">
        <v>180</v>
      </c>
      <c r="H2621" s="165">
        <f>G2621*E2621</f>
        <v>36000</v>
      </c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56"/>
    </row>
    <row r="2622" spans="1:22" x14ac:dyDescent="0.25">
      <c r="A2622" s="25">
        <v>2611</v>
      </c>
      <c r="B2622" s="23"/>
      <c r="C2622" s="14" t="s">
        <v>302</v>
      </c>
      <c r="D2622" s="23"/>
      <c r="E2622" s="33">
        <f>25*8</f>
        <v>200</v>
      </c>
      <c r="F2622" s="33" t="s">
        <v>37</v>
      </c>
      <c r="G2622" s="15">
        <v>120</v>
      </c>
      <c r="H2622" s="165">
        <f>G2622*E2622</f>
        <v>24000</v>
      </c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56"/>
    </row>
    <row r="2623" spans="1:22" x14ac:dyDescent="0.25">
      <c r="A2623" s="25">
        <v>2612</v>
      </c>
      <c r="B2623" s="23"/>
      <c r="C2623" s="16" t="s">
        <v>504</v>
      </c>
      <c r="D2623" s="23"/>
      <c r="E2623" s="33">
        <f>20*8</f>
        <v>160</v>
      </c>
      <c r="F2623" s="36" t="s">
        <v>567</v>
      </c>
      <c r="G2623" s="17">
        <v>420</v>
      </c>
      <c r="H2623" s="165">
        <f>G2623*E2623</f>
        <v>67200</v>
      </c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56"/>
    </row>
    <row r="2624" spans="1:22" x14ac:dyDescent="0.25">
      <c r="A2624" s="25">
        <v>2613</v>
      </c>
      <c r="B2624" s="23"/>
      <c r="C2624" s="14"/>
      <c r="D2624" s="23"/>
      <c r="E2624" s="84"/>
      <c r="F2624" s="23"/>
      <c r="G2624" s="165"/>
      <c r="H2624" s="165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56"/>
    </row>
    <row r="2625" spans="1:22" ht="45" x14ac:dyDescent="0.25">
      <c r="A2625" s="25">
        <v>2614</v>
      </c>
      <c r="B2625" s="89" t="s">
        <v>222</v>
      </c>
      <c r="C2625" s="90" t="s">
        <v>596</v>
      </c>
      <c r="D2625" s="89" t="s">
        <v>27</v>
      </c>
      <c r="E2625" s="89"/>
      <c r="F2625" s="89"/>
      <c r="G2625" s="163"/>
      <c r="H2625" s="167">
        <v>28800</v>
      </c>
      <c r="I2625" s="89" t="s">
        <v>52</v>
      </c>
      <c r="J2625" s="60">
        <v>1</v>
      </c>
      <c r="K2625" s="60"/>
      <c r="L2625" s="60"/>
      <c r="M2625" s="60"/>
      <c r="N2625" s="60"/>
      <c r="O2625" s="60"/>
      <c r="P2625" s="60"/>
      <c r="Q2625" s="60"/>
      <c r="R2625" s="60"/>
      <c r="S2625" s="60"/>
      <c r="T2625" s="60"/>
      <c r="U2625" s="60"/>
      <c r="V2625" s="56"/>
    </row>
    <row r="2626" spans="1:22" ht="28.5" x14ac:dyDescent="0.25">
      <c r="A2626" s="25">
        <v>2615</v>
      </c>
      <c r="B2626" s="23"/>
      <c r="C2626" s="14" t="s">
        <v>691</v>
      </c>
      <c r="D2626" s="23"/>
      <c r="E2626" s="84">
        <v>30</v>
      </c>
      <c r="F2626" s="23" t="s">
        <v>37</v>
      </c>
      <c r="G2626" s="165">
        <v>480</v>
      </c>
      <c r="H2626" s="165">
        <v>14400</v>
      </c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56"/>
    </row>
    <row r="2627" spans="1:22" ht="28.5" x14ac:dyDescent="0.25">
      <c r="A2627" s="25">
        <v>2616</v>
      </c>
      <c r="B2627" s="23"/>
      <c r="C2627" s="14" t="s">
        <v>692</v>
      </c>
      <c r="D2627" s="23"/>
      <c r="E2627" s="84">
        <v>30</v>
      </c>
      <c r="F2627" s="23" t="s">
        <v>37</v>
      </c>
      <c r="G2627" s="165">
        <v>480</v>
      </c>
      <c r="H2627" s="165">
        <v>14400</v>
      </c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56"/>
    </row>
    <row r="2628" spans="1:22" x14ac:dyDescent="0.25">
      <c r="A2628" s="25">
        <v>2617</v>
      </c>
      <c r="B2628" s="23"/>
      <c r="C2628" s="14"/>
      <c r="D2628" s="23"/>
      <c r="E2628" s="84"/>
      <c r="F2628" s="23"/>
      <c r="G2628" s="165"/>
      <c r="H2628" s="165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56"/>
    </row>
    <row r="2629" spans="1:22" ht="30" x14ac:dyDescent="0.25">
      <c r="A2629" s="25">
        <v>2618</v>
      </c>
      <c r="B2629" s="89" t="s">
        <v>222</v>
      </c>
      <c r="C2629" s="90" t="s">
        <v>110</v>
      </c>
      <c r="D2629" s="89" t="s">
        <v>27</v>
      </c>
      <c r="E2629" s="89"/>
      <c r="F2629" s="89"/>
      <c r="G2629" s="163"/>
      <c r="H2629" s="167">
        <v>92400</v>
      </c>
      <c r="I2629" s="89" t="s">
        <v>52</v>
      </c>
      <c r="J2629" s="60">
        <v>1</v>
      </c>
      <c r="K2629" s="60">
        <v>1</v>
      </c>
      <c r="L2629" s="60">
        <v>1</v>
      </c>
      <c r="M2629" s="60">
        <v>1</v>
      </c>
      <c r="N2629" s="60">
        <v>1</v>
      </c>
      <c r="O2629" s="60">
        <v>1</v>
      </c>
      <c r="P2629" s="60">
        <v>1</v>
      </c>
      <c r="Q2629" s="60">
        <v>1</v>
      </c>
      <c r="R2629" s="60">
        <v>1</v>
      </c>
      <c r="S2629" s="60">
        <v>1</v>
      </c>
      <c r="T2629" s="60">
        <v>1</v>
      </c>
      <c r="U2629" s="60">
        <v>1</v>
      </c>
      <c r="V2629" s="56"/>
    </row>
    <row r="2630" spans="1:22" x14ac:dyDescent="0.25">
      <c r="A2630" s="25">
        <v>2619</v>
      </c>
      <c r="B2630" s="23"/>
      <c r="C2630" s="14" t="s">
        <v>895</v>
      </c>
      <c r="D2630" s="23"/>
      <c r="E2630" s="84"/>
      <c r="F2630" s="23"/>
      <c r="G2630" s="165"/>
      <c r="H2630" s="165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56"/>
    </row>
    <row r="2631" spans="1:22" x14ac:dyDescent="0.25">
      <c r="A2631" s="25">
        <v>2620</v>
      </c>
      <c r="B2631" s="23"/>
      <c r="C2631" s="1" t="s">
        <v>750</v>
      </c>
      <c r="D2631" s="23"/>
      <c r="E2631" s="8">
        <f>22*10</f>
        <v>220</v>
      </c>
      <c r="F2631" s="8" t="s">
        <v>37</v>
      </c>
      <c r="G2631" s="180">
        <v>120</v>
      </c>
      <c r="H2631" s="165">
        <f>G2631*E2631</f>
        <v>26400</v>
      </c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56"/>
    </row>
    <row r="2632" spans="1:22" x14ac:dyDescent="0.25">
      <c r="A2632" s="25">
        <v>2621</v>
      </c>
      <c r="B2632" s="23"/>
      <c r="C2632" s="1" t="s">
        <v>346</v>
      </c>
      <c r="D2632" s="23"/>
      <c r="E2632" s="8">
        <f t="shared" ref="E2632:E2633" si="196">22*10</f>
        <v>220</v>
      </c>
      <c r="F2632" s="8" t="s">
        <v>37</v>
      </c>
      <c r="G2632" s="180">
        <v>180</v>
      </c>
      <c r="H2632" s="165">
        <f t="shared" ref="H2632:H2633" si="197">G2632*E2632</f>
        <v>39600</v>
      </c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56"/>
    </row>
    <row r="2633" spans="1:22" x14ac:dyDescent="0.25">
      <c r="A2633" s="25">
        <v>2622</v>
      </c>
      <c r="B2633" s="23"/>
      <c r="C2633" s="1" t="s">
        <v>302</v>
      </c>
      <c r="D2633" s="23"/>
      <c r="E2633" s="8">
        <f t="shared" si="196"/>
        <v>220</v>
      </c>
      <c r="F2633" s="8" t="s">
        <v>37</v>
      </c>
      <c r="G2633" s="180">
        <v>120</v>
      </c>
      <c r="H2633" s="165">
        <f t="shared" si="197"/>
        <v>26400</v>
      </c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56"/>
    </row>
    <row r="2634" spans="1:22" x14ac:dyDescent="0.25">
      <c r="A2634" s="25">
        <v>2623</v>
      </c>
      <c r="B2634" s="23"/>
      <c r="C2634" s="14"/>
      <c r="D2634" s="23"/>
      <c r="E2634" s="84"/>
      <c r="F2634" s="23"/>
      <c r="G2634" s="165"/>
      <c r="H2634" s="165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56"/>
    </row>
    <row r="2635" spans="1:22" ht="60" x14ac:dyDescent="0.25">
      <c r="A2635" s="25">
        <v>2624</v>
      </c>
      <c r="B2635" s="89" t="s">
        <v>222</v>
      </c>
      <c r="C2635" s="90" t="s">
        <v>654</v>
      </c>
      <c r="D2635" s="89" t="s">
        <v>27</v>
      </c>
      <c r="E2635" s="89"/>
      <c r="F2635" s="89"/>
      <c r="G2635" s="163"/>
      <c r="H2635" s="167">
        <v>28800</v>
      </c>
      <c r="I2635" s="89" t="s">
        <v>52</v>
      </c>
      <c r="J2635" s="60">
        <v>1</v>
      </c>
      <c r="K2635" s="60"/>
      <c r="L2635" s="60"/>
      <c r="M2635" s="60"/>
      <c r="N2635" s="60"/>
      <c r="O2635" s="60"/>
      <c r="P2635" s="60"/>
      <c r="Q2635" s="60"/>
      <c r="R2635" s="60"/>
      <c r="S2635" s="60"/>
      <c r="T2635" s="60"/>
      <c r="U2635" s="60"/>
      <c r="V2635" s="56"/>
    </row>
    <row r="2636" spans="1:22" ht="28.5" x14ac:dyDescent="0.25">
      <c r="A2636" s="25">
        <v>2625</v>
      </c>
      <c r="B2636" s="23"/>
      <c r="C2636" s="14" t="s">
        <v>691</v>
      </c>
      <c r="D2636" s="23"/>
      <c r="E2636" s="84">
        <v>30</v>
      </c>
      <c r="F2636" s="23" t="s">
        <v>37</v>
      </c>
      <c r="G2636" s="165">
        <v>480</v>
      </c>
      <c r="H2636" s="165">
        <v>14400</v>
      </c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56"/>
    </row>
    <row r="2637" spans="1:22" ht="28.5" x14ac:dyDescent="0.25">
      <c r="A2637" s="25">
        <v>2626</v>
      </c>
      <c r="B2637" s="23"/>
      <c r="C2637" s="14" t="s">
        <v>692</v>
      </c>
      <c r="D2637" s="23"/>
      <c r="E2637" s="84">
        <v>30</v>
      </c>
      <c r="F2637" s="23" t="s">
        <v>37</v>
      </c>
      <c r="G2637" s="165">
        <v>480</v>
      </c>
      <c r="H2637" s="165">
        <v>14400</v>
      </c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56"/>
    </row>
    <row r="2638" spans="1:22" x14ac:dyDescent="0.25">
      <c r="A2638" s="25">
        <v>2627</v>
      </c>
      <c r="B2638" s="23"/>
      <c r="C2638" s="14"/>
      <c r="D2638" s="23"/>
      <c r="E2638" s="84"/>
      <c r="F2638" s="23"/>
      <c r="G2638" s="165"/>
      <c r="H2638" s="165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56"/>
    </row>
    <row r="2639" spans="1:22" ht="30" x14ac:dyDescent="0.25">
      <c r="A2639" s="25">
        <v>2628</v>
      </c>
      <c r="B2639" s="89" t="s">
        <v>222</v>
      </c>
      <c r="C2639" s="90" t="s">
        <v>160</v>
      </c>
      <c r="D2639" s="89" t="s">
        <v>27</v>
      </c>
      <c r="E2639" s="89"/>
      <c r="F2639" s="89"/>
      <c r="G2639" s="163"/>
      <c r="H2639" s="167">
        <v>1336500</v>
      </c>
      <c r="I2639" s="89" t="s">
        <v>52</v>
      </c>
      <c r="J2639" s="60">
        <v>1</v>
      </c>
      <c r="K2639" s="60"/>
      <c r="L2639" s="60"/>
      <c r="M2639" s="60"/>
      <c r="N2639" s="60"/>
      <c r="O2639" s="60"/>
      <c r="P2639" s="60"/>
      <c r="Q2639" s="60"/>
      <c r="R2639" s="60"/>
      <c r="S2639" s="60"/>
      <c r="T2639" s="60"/>
      <c r="U2639" s="60"/>
      <c r="V2639" s="56"/>
    </row>
    <row r="2640" spans="1:22" x14ac:dyDescent="0.25">
      <c r="A2640" s="25">
        <v>2629</v>
      </c>
      <c r="B2640" s="23"/>
      <c r="C2640" s="14" t="s">
        <v>231</v>
      </c>
      <c r="D2640" s="23"/>
      <c r="E2640" s="84"/>
      <c r="F2640" s="23"/>
      <c r="G2640" s="165"/>
      <c r="H2640" s="165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56"/>
    </row>
    <row r="2641" spans="1:22" x14ac:dyDescent="0.25">
      <c r="A2641" s="25">
        <v>2630</v>
      </c>
      <c r="B2641" s="23"/>
      <c r="C2641" s="137" t="s">
        <v>1242</v>
      </c>
      <c r="D2641" s="23"/>
      <c r="E2641" s="112">
        <v>500</v>
      </c>
      <c r="F2641" s="112" t="s">
        <v>37</v>
      </c>
      <c r="G2641" s="113">
        <v>250</v>
      </c>
      <c r="H2641" s="165">
        <f>G2641*E2641</f>
        <v>125000</v>
      </c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56"/>
    </row>
    <row r="2642" spans="1:22" x14ac:dyDescent="0.25">
      <c r="A2642" s="25">
        <v>2631</v>
      </c>
      <c r="B2642" s="23"/>
      <c r="C2642" s="111" t="s">
        <v>1243</v>
      </c>
      <c r="D2642" s="23"/>
      <c r="E2642" s="112">
        <v>500</v>
      </c>
      <c r="F2642" s="112" t="s">
        <v>37</v>
      </c>
      <c r="G2642" s="113">
        <v>220</v>
      </c>
      <c r="H2642" s="165">
        <f t="shared" ref="H2642:H2649" si="198">G2642*E2642</f>
        <v>110000</v>
      </c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56"/>
    </row>
    <row r="2643" spans="1:22" x14ac:dyDescent="0.25">
      <c r="A2643" s="25">
        <v>2632</v>
      </c>
      <c r="B2643" s="23"/>
      <c r="C2643" s="111" t="s">
        <v>1244</v>
      </c>
      <c r="D2643" s="23"/>
      <c r="E2643" s="112">
        <v>500</v>
      </c>
      <c r="F2643" s="112" t="s">
        <v>37</v>
      </c>
      <c r="G2643" s="113">
        <v>400</v>
      </c>
      <c r="H2643" s="165">
        <f t="shared" si="198"/>
        <v>200000</v>
      </c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56"/>
    </row>
    <row r="2644" spans="1:22" x14ac:dyDescent="0.25">
      <c r="A2644" s="25">
        <v>2633</v>
      </c>
      <c r="B2644" s="23"/>
      <c r="C2644" s="111" t="s">
        <v>1245</v>
      </c>
      <c r="D2644" s="23"/>
      <c r="E2644" s="112">
        <v>50</v>
      </c>
      <c r="F2644" s="23" t="s">
        <v>567</v>
      </c>
      <c r="G2644" s="113">
        <v>450</v>
      </c>
      <c r="H2644" s="165">
        <f t="shared" si="198"/>
        <v>22500</v>
      </c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56"/>
    </row>
    <row r="2645" spans="1:22" x14ac:dyDescent="0.25">
      <c r="A2645" s="25">
        <v>2634</v>
      </c>
      <c r="B2645" s="23"/>
      <c r="C2645" s="111" t="s">
        <v>1246</v>
      </c>
      <c r="D2645" s="23"/>
      <c r="E2645" s="112">
        <v>50</v>
      </c>
      <c r="F2645" s="23" t="s">
        <v>567</v>
      </c>
      <c r="G2645" s="113">
        <v>1200</v>
      </c>
      <c r="H2645" s="165">
        <f t="shared" si="198"/>
        <v>60000</v>
      </c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56"/>
    </row>
    <row r="2646" spans="1:22" x14ac:dyDescent="0.25">
      <c r="A2646" s="25">
        <v>2635</v>
      </c>
      <c r="B2646" s="23"/>
      <c r="C2646" s="111" t="s">
        <v>1247</v>
      </c>
      <c r="D2646" s="23"/>
      <c r="E2646" s="112">
        <v>500</v>
      </c>
      <c r="F2646" s="112" t="s">
        <v>37</v>
      </c>
      <c r="G2646" s="113">
        <v>500</v>
      </c>
      <c r="H2646" s="165">
        <f t="shared" si="198"/>
        <v>250000</v>
      </c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56"/>
    </row>
    <row r="2647" spans="1:22" x14ac:dyDescent="0.25">
      <c r="A2647" s="25">
        <v>2636</v>
      </c>
      <c r="B2647" s="8"/>
      <c r="C2647" s="111" t="s">
        <v>1248</v>
      </c>
      <c r="D2647" s="8"/>
      <c r="E2647" s="112">
        <v>500</v>
      </c>
      <c r="F2647" s="112" t="s">
        <v>37</v>
      </c>
      <c r="G2647" s="113">
        <v>400</v>
      </c>
      <c r="H2647" s="165">
        <f t="shared" si="198"/>
        <v>200000</v>
      </c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56"/>
    </row>
    <row r="2648" spans="1:22" x14ac:dyDescent="0.25">
      <c r="A2648" s="25">
        <v>2637</v>
      </c>
      <c r="B2648" s="23"/>
      <c r="C2648" s="111" t="s">
        <v>1249</v>
      </c>
      <c r="D2648" s="23"/>
      <c r="E2648" s="112">
        <v>500</v>
      </c>
      <c r="F2648" s="112" t="s">
        <v>37</v>
      </c>
      <c r="G2648" s="113">
        <v>450</v>
      </c>
      <c r="H2648" s="165">
        <f t="shared" si="198"/>
        <v>225000</v>
      </c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56"/>
    </row>
    <row r="2649" spans="1:22" x14ac:dyDescent="0.25">
      <c r="A2649" s="25">
        <v>2638</v>
      </c>
      <c r="B2649" s="23"/>
      <c r="C2649" s="111" t="s">
        <v>1250</v>
      </c>
      <c r="D2649" s="23"/>
      <c r="E2649" s="112">
        <v>80</v>
      </c>
      <c r="F2649" s="8" t="s">
        <v>152</v>
      </c>
      <c r="G2649" s="113">
        <v>1800</v>
      </c>
      <c r="H2649" s="165">
        <f t="shared" si="198"/>
        <v>144000</v>
      </c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56"/>
    </row>
    <row r="2650" spans="1:22" x14ac:dyDescent="0.25">
      <c r="A2650" s="25">
        <v>2639</v>
      </c>
      <c r="B2650" s="23"/>
      <c r="C2650" s="14"/>
      <c r="D2650" s="23"/>
      <c r="E2650" s="84"/>
      <c r="F2650" s="23"/>
      <c r="G2650" s="165"/>
      <c r="H2650" s="165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56"/>
    </row>
    <row r="2651" spans="1:22" ht="45" x14ac:dyDescent="0.25">
      <c r="A2651" s="25">
        <v>2640</v>
      </c>
      <c r="B2651" s="89" t="s">
        <v>222</v>
      </c>
      <c r="C2651" s="90" t="s">
        <v>42</v>
      </c>
      <c r="D2651" s="89" t="s">
        <v>27</v>
      </c>
      <c r="E2651" s="89"/>
      <c r="F2651" s="89"/>
      <c r="G2651" s="163"/>
      <c r="H2651" s="167">
        <v>1046100</v>
      </c>
      <c r="I2651" s="89" t="s">
        <v>52</v>
      </c>
      <c r="J2651" s="60"/>
      <c r="K2651" s="60"/>
      <c r="L2651" s="60"/>
      <c r="M2651" s="60">
        <v>1</v>
      </c>
      <c r="N2651" s="60"/>
      <c r="O2651" s="60"/>
      <c r="P2651" s="60"/>
      <c r="Q2651" s="60"/>
      <c r="R2651" s="60"/>
      <c r="S2651" s="60">
        <v>1</v>
      </c>
      <c r="T2651" s="60"/>
      <c r="U2651" s="60"/>
      <c r="V2651" s="56"/>
    </row>
    <row r="2652" spans="1:22" x14ac:dyDescent="0.25">
      <c r="A2652" s="25">
        <v>2641</v>
      </c>
      <c r="B2652" s="23"/>
      <c r="C2652" s="14" t="s">
        <v>54</v>
      </c>
      <c r="D2652" s="23"/>
      <c r="E2652" s="84"/>
      <c r="F2652" s="23"/>
      <c r="G2652" s="165"/>
      <c r="H2652" s="165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56"/>
    </row>
    <row r="2653" spans="1:22" x14ac:dyDescent="0.25">
      <c r="A2653" s="25">
        <v>2642</v>
      </c>
      <c r="B2653" s="23"/>
      <c r="C2653" s="11" t="s">
        <v>246</v>
      </c>
      <c r="D2653" s="8"/>
      <c r="E2653" s="2">
        <v>1680</v>
      </c>
      <c r="F2653" s="112" t="s">
        <v>37</v>
      </c>
      <c r="G2653" s="24">
        <v>120</v>
      </c>
      <c r="H2653" s="165">
        <f>G2653*E2653</f>
        <v>201600</v>
      </c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56"/>
    </row>
    <row r="2654" spans="1:22" x14ac:dyDescent="0.25">
      <c r="A2654" s="25">
        <v>2643</v>
      </c>
      <c r="B2654" s="23"/>
      <c r="C2654" s="11" t="s">
        <v>346</v>
      </c>
      <c r="D2654" s="8"/>
      <c r="E2654" s="2">
        <v>1680</v>
      </c>
      <c r="F2654" s="112" t="s">
        <v>37</v>
      </c>
      <c r="G2654" s="24">
        <v>180</v>
      </c>
      <c r="H2654" s="165">
        <f>G2654*E2654</f>
        <v>302400</v>
      </c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56"/>
    </row>
    <row r="2655" spans="1:22" x14ac:dyDescent="0.25">
      <c r="A2655" s="25">
        <v>2644</v>
      </c>
      <c r="B2655" s="23"/>
      <c r="C2655" s="11" t="s">
        <v>892</v>
      </c>
      <c r="D2655" s="8"/>
      <c r="E2655" s="2">
        <v>1680</v>
      </c>
      <c r="F2655" s="112" t="s">
        <v>37</v>
      </c>
      <c r="G2655" s="24">
        <v>120</v>
      </c>
      <c r="H2655" s="165">
        <f>G2655*E2655</f>
        <v>201600</v>
      </c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56"/>
    </row>
    <row r="2656" spans="1:22" x14ac:dyDescent="0.25">
      <c r="A2656" s="25">
        <v>2645</v>
      </c>
      <c r="B2656" s="23"/>
      <c r="C2656" s="14" t="s">
        <v>891</v>
      </c>
      <c r="D2656" s="23"/>
      <c r="E2656" s="84"/>
      <c r="F2656" s="23"/>
      <c r="G2656" s="165"/>
      <c r="H2656" s="165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56"/>
    </row>
    <row r="2657" spans="1:22" x14ac:dyDescent="0.25">
      <c r="A2657" s="25">
        <v>2646</v>
      </c>
      <c r="B2657" s="23"/>
      <c r="C2657" s="6" t="s">
        <v>246</v>
      </c>
      <c r="D2657" s="23"/>
      <c r="E2657" s="7">
        <f>200*2</f>
        <v>400</v>
      </c>
      <c r="F2657" s="2" t="s">
        <v>37</v>
      </c>
      <c r="G2657" s="141">
        <v>120</v>
      </c>
      <c r="H2657" s="165">
        <f>G2657*E2657</f>
        <v>48000</v>
      </c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56"/>
    </row>
    <row r="2658" spans="1:22" x14ac:dyDescent="0.25">
      <c r="A2658" s="25">
        <v>2647</v>
      </c>
      <c r="B2658" s="23"/>
      <c r="C2658" s="11" t="s">
        <v>346</v>
      </c>
      <c r="D2658" s="23"/>
      <c r="E2658" s="7">
        <f t="shared" ref="E2658:E2659" si="199">200*2</f>
        <v>400</v>
      </c>
      <c r="F2658" s="2" t="s">
        <v>37</v>
      </c>
      <c r="G2658" s="141">
        <v>180</v>
      </c>
      <c r="H2658" s="165">
        <f t="shared" ref="H2658:H2659" si="200">G2658*E2658</f>
        <v>72000</v>
      </c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56"/>
    </row>
    <row r="2659" spans="1:22" x14ac:dyDescent="0.25">
      <c r="A2659" s="25">
        <v>2648</v>
      </c>
      <c r="B2659" s="23"/>
      <c r="C2659" s="11" t="s">
        <v>892</v>
      </c>
      <c r="D2659" s="23"/>
      <c r="E2659" s="7">
        <f t="shared" si="199"/>
        <v>400</v>
      </c>
      <c r="F2659" s="2" t="s">
        <v>37</v>
      </c>
      <c r="G2659" s="141">
        <v>120</v>
      </c>
      <c r="H2659" s="165">
        <f t="shared" si="200"/>
        <v>48000</v>
      </c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56"/>
    </row>
    <row r="2660" spans="1:22" ht="15" x14ac:dyDescent="0.25">
      <c r="A2660" s="25">
        <v>2649</v>
      </c>
      <c r="B2660" s="23"/>
      <c r="C2660" s="16" t="s">
        <v>893</v>
      </c>
      <c r="D2660" s="23"/>
      <c r="E2660" s="146"/>
      <c r="F2660" s="146"/>
      <c r="G2660" s="195"/>
      <c r="H2660" s="165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56"/>
    </row>
    <row r="2661" spans="1:22" ht="28.5" x14ac:dyDescent="0.25">
      <c r="A2661" s="25">
        <v>2650</v>
      </c>
      <c r="B2661" s="23"/>
      <c r="C2661" s="14" t="s">
        <v>894</v>
      </c>
      <c r="D2661" s="23"/>
      <c r="E2661" s="142"/>
      <c r="F2661" s="142"/>
      <c r="G2661" s="193"/>
      <c r="H2661" s="165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56"/>
    </row>
    <row r="2662" spans="1:22" x14ac:dyDescent="0.25">
      <c r="A2662" s="25">
        <v>2651</v>
      </c>
      <c r="B2662" s="23"/>
      <c r="C2662" s="6" t="s">
        <v>246</v>
      </c>
      <c r="D2662" s="23"/>
      <c r="E2662" s="7">
        <v>400</v>
      </c>
      <c r="F2662" s="2" t="s">
        <v>37</v>
      </c>
      <c r="G2662" s="141">
        <v>120</v>
      </c>
      <c r="H2662" s="165">
        <f>G2662*E2662</f>
        <v>48000</v>
      </c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56"/>
    </row>
    <row r="2663" spans="1:22" x14ac:dyDescent="0.25">
      <c r="A2663" s="25">
        <v>2652</v>
      </c>
      <c r="B2663" s="23"/>
      <c r="C2663" s="11" t="s">
        <v>346</v>
      </c>
      <c r="D2663" s="23"/>
      <c r="E2663" s="7">
        <v>400</v>
      </c>
      <c r="F2663" s="2" t="s">
        <v>37</v>
      </c>
      <c r="G2663" s="141">
        <v>180</v>
      </c>
      <c r="H2663" s="165">
        <f t="shared" ref="H2663:H2664" si="201">G2663*E2663</f>
        <v>72000</v>
      </c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56"/>
    </row>
    <row r="2664" spans="1:22" x14ac:dyDescent="0.25">
      <c r="A2664" s="25">
        <v>2653</v>
      </c>
      <c r="B2664" s="23"/>
      <c r="C2664" s="11" t="s">
        <v>892</v>
      </c>
      <c r="D2664" s="23"/>
      <c r="E2664" s="7">
        <v>400</v>
      </c>
      <c r="F2664" s="2" t="s">
        <v>37</v>
      </c>
      <c r="G2664" s="141">
        <v>120</v>
      </c>
      <c r="H2664" s="165">
        <f t="shared" si="201"/>
        <v>48000</v>
      </c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56"/>
    </row>
    <row r="2665" spans="1:22" x14ac:dyDescent="0.25">
      <c r="A2665" s="25">
        <v>2654</v>
      </c>
      <c r="B2665" s="23"/>
      <c r="C2665" s="16" t="s">
        <v>504</v>
      </c>
      <c r="D2665" s="23"/>
      <c r="E2665" s="33">
        <v>10</v>
      </c>
      <c r="F2665" s="36" t="s">
        <v>567</v>
      </c>
      <c r="G2665" s="17">
        <v>450</v>
      </c>
      <c r="H2665" s="214">
        <f>E2665*G2665</f>
        <v>4500</v>
      </c>
      <c r="I2665" s="66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56"/>
    </row>
    <row r="2666" spans="1:22" x14ac:dyDescent="0.25">
      <c r="A2666" s="25">
        <v>2655</v>
      </c>
      <c r="B2666" s="23"/>
      <c r="C2666" s="14"/>
      <c r="D2666" s="23"/>
      <c r="E2666" s="84"/>
      <c r="F2666" s="23"/>
      <c r="G2666" s="165"/>
      <c r="H2666" s="165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56"/>
    </row>
    <row r="2667" spans="1:22" ht="30" x14ac:dyDescent="0.25">
      <c r="A2667" s="25">
        <v>2656</v>
      </c>
      <c r="B2667" s="89" t="s">
        <v>222</v>
      </c>
      <c r="C2667" s="90" t="s">
        <v>174</v>
      </c>
      <c r="D2667" s="89" t="s">
        <v>27</v>
      </c>
      <c r="E2667" s="89"/>
      <c r="F2667" s="89"/>
      <c r="G2667" s="163"/>
      <c r="H2667" s="167">
        <v>214000</v>
      </c>
      <c r="I2667" s="89" t="s">
        <v>52</v>
      </c>
      <c r="J2667" s="60">
        <v>1</v>
      </c>
      <c r="K2667" s="60">
        <v>2</v>
      </c>
      <c r="L2667" s="60">
        <v>2</v>
      </c>
      <c r="M2667" s="60">
        <v>2</v>
      </c>
      <c r="N2667" s="60">
        <v>1</v>
      </c>
      <c r="O2667" s="60">
        <v>2</v>
      </c>
      <c r="P2667" s="60">
        <v>2</v>
      </c>
      <c r="Q2667" s="60">
        <v>2</v>
      </c>
      <c r="R2667" s="60">
        <v>2</v>
      </c>
      <c r="S2667" s="60">
        <v>2</v>
      </c>
      <c r="T2667" s="60">
        <v>2</v>
      </c>
      <c r="U2667" s="60">
        <v>1</v>
      </c>
      <c r="V2667" s="56"/>
    </row>
    <row r="2668" spans="1:22" x14ac:dyDescent="0.25">
      <c r="A2668" s="25">
        <v>2657</v>
      </c>
      <c r="B2668" s="23"/>
      <c r="C2668" s="14" t="s">
        <v>230</v>
      </c>
      <c r="D2668" s="23"/>
      <c r="E2668" s="84"/>
      <c r="F2668" s="23"/>
      <c r="G2668" s="165"/>
      <c r="H2668" s="165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56"/>
    </row>
    <row r="2669" spans="1:22" x14ac:dyDescent="0.25">
      <c r="A2669" s="25">
        <v>2658</v>
      </c>
      <c r="B2669" s="23"/>
      <c r="C2669" s="63" t="s">
        <v>1261</v>
      </c>
      <c r="D2669" s="23"/>
      <c r="E2669" s="147">
        <v>856</v>
      </c>
      <c r="F2669" s="33" t="s">
        <v>37</v>
      </c>
      <c r="G2669" s="168">
        <v>250</v>
      </c>
      <c r="H2669" s="165">
        <f>G2669*E2669</f>
        <v>214000</v>
      </c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56"/>
    </row>
    <row r="2670" spans="1:22" x14ac:dyDescent="0.25">
      <c r="A2670" s="25">
        <v>2659</v>
      </c>
      <c r="B2670" s="23"/>
      <c r="C2670" s="14"/>
      <c r="D2670" s="23"/>
      <c r="E2670" s="84"/>
      <c r="F2670" s="23"/>
      <c r="G2670" s="165"/>
      <c r="H2670" s="165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56"/>
    </row>
    <row r="2671" spans="1:22" ht="30" x14ac:dyDescent="0.25">
      <c r="A2671" s="25">
        <v>2660</v>
      </c>
      <c r="B2671" s="89" t="s">
        <v>222</v>
      </c>
      <c r="C2671" s="90" t="s">
        <v>177</v>
      </c>
      <c r="D2671" s="89" t="s">
        <v>27</v>
      </c>
      <c r="E2671" s="89"/>
      <c r="F2671" s="89"/>
      <c r="G2671" s="163"/>
      <c r="H2671" s="167">
        <v>265250</v>
      </c>
      <c r="I2671" s="89" t="s">
        <v>52</v>
      </c>
      <c r="J2671" s="60"/>
      <c r="K2671" s="60"/>
      <c r="L2671" s="60"/>
      <c r="M2671" s="60"/>
      <c r="N2671" s="60"/>
      <c r="O2671" s="60"/>
      <c r="P2671" s="60">
        <v>2</v>
      </c>
      <c r="Q2671" s="60"/>
      <c r="R2671" s="60"/>
      <c r="S2671" s="60"/>
      <c r="T2671" s="60"/>
      <c r="U2671" s="60"/>
      <c r="V2671" s="56"/>
    </row>
    <row r="2672" spans="1:22" x14ac:dyDescent="0.25">
      <c r="A2672" s="25">
        <v>2661</v>
      </c>
      <c r="B2672" s="23"/>
      <c r="C2672" s="14" t="s">
        <v>54</v>
      </c>
      <c r="D2672" s="23"/>
      <c r="E2672" s="84"/>
      <c r="F2672" s="23"/>
      <c r="G2672" s="165"/>
      <c r="H2672" s="165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56"/>
    </row>
    <row r="2673" spans="1:22" x14ac:dyDescent="0.25">
      <c r="A2673" s="25">
        <v>2662</v>
      </c>
      <c r="B2673" s="23"/>
      <c r="C2673" s="63" t="s">
        <v>1188</v>
      </c>
      <c r="D2673" s="23"/>
      <c r="E2673" s="64">
        <f>50*20</f>
        <v>1000</v>
      </c>
      <c r="F2673" s="64" t="s">
        <v>37</v>
      </c>
      <c r="G2673" s="168">
        <v>175</v>
      </c>
      <c r="H2673" s="165">
        <f>G2673*E2673</f>
        <v>175000</v>
      </c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56"/>
    </row>
    <row r="2674" spans="1:22" x14ac:dyDescent="0.25">
      <c r="A2674" s="25">
        <v>2663</v>
      </c>
      <c r="B2674" s="23"/>
      <c r="C2674" s="63" t="s">
        <v>1189</v>
      </c>
      <c r="D2674" s="23"/>
      <c r="E2674" s="64">
        <v>361</v>
      </c>
      <c r="F2674" s="64" t="s">
        <v>37</v>
      </c>
      <c r="G2674" s="168">
        <v>250</v>
      </c>
      <c r="H2674" s="165">
        <f>G2674*E2674</f>
        <v>90250</v>
      </c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56"/>
    </row>
    <row r="2675" spans="1:22" x14ac:dyDescent="0.25">
      <c r="A2675" s="25">
        <v>2664</v>
      </c>
      <c r="B2675" s="23"/>
      <c r="C2675" s="14"/>
      <c r="D2675" s="23"/>
      <c r="E2675" s="84"/>
      <c r="F2675" s="23"/>
      <c r="G2675" s="165"/>
      <c r="H2675" s="165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56"/>
    </row>
    <row r="2676" spans="1:22" ht="30" x14ac:dyDescent="0.25">
      <c r="A2676" s="25">
        <v>2665</v>
      </c>
      <c r="B2676" s="89" t="s">
        <v>222</v>
      </c>
      <c r="C2676" s="90" t="s">
        <v>96</v>
      </c>
      <c r="D2676" s="89" t="s">
        <v>27</v>
      </c>
      <c r="E2676" s="89"/>
      <c r="F2676" s="89"/>
      <c r="G2676" s="163"/>
      <c r="H2676" s="167">
        <v>63000</v>
      </c>
      <c r="I2676" s="89" t="s">
        <v>52</v>
      </c>
      <c r="J2676" s="60"/>
      <c r="K2676" s="60"/>
      <c r="L2676" s="60"/>
      <c r="M2676" s="60"/>
      <c r="N2676" s="60"/>
      <c r="O2676" s="60"/>
      <c r="P2676" s="60"/>
      <c r="Q2676" s="60"/>
      <c r="R2676" s="60">
        <v>1</v>
      </c>
      <c r="S2676" s="60"/>
      <c r="T2676" s="60"/>
      <c r="U2676" s="60"/>
      <c r="V2676" s="56"/>
    </row>
    <row r="2677" spans="1:22" x14ac:dyDescent="0.25">
      <c r="A2677" s="25">
        <v>2666</v>
      </c>
      <c r="B2677" s="23"/>
      <c r="C2677" s="14" t="s">
        <v>54</v>
      </c>
      <c r="D2677" s="23"/>
      <c r="E2677" s="84"/>
      <c r="F2677" s="23"/>
      <c r="G2677" s="165"/>
      <c r="H2677" s="165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56"/>
    </row>
    <row r="2678" spans="1:22" x14ac:dyDescent="0.25">
      <c r="A2678" s="25">
        <v>2667</v>
      </c>
      <c r="B2678" s="23"/>
      <c r="C2678" s="69" t="s">
        <v>876</v>
      </c>
      <c r="D2678" s="23"/>
      <c r="E2678" s="8"/>
      <c r="F2678" s="8"/>
      <c r="G2678" s="178"/>
      <c r="H2678" s="17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56"/>
    </row>
    <row r="2679" spans="1:22" x14ac:dyDescent="0.25">
      <c r="A2679" s="25">
        <v>2668</v>
      </c>
      <c r="B2679" s="23"/>
      <c r="C2679" s="69" t="s">
        <v>877</v>
      </c>
      <c r="D2679" s="23"/>
      <c r="E2679" s="148">
        <f>30*2</f>
        <v>60</v>
      </c>
      <c r="F2679" s="23" t="s">
        <v>37</v>
      </c>
      <c r="G2679" s="97">
        <v>120</v>
      </c>
      <c r="H2679" s="165">
        <f>G2679*E2679</f>
        <v>7200</v>
      </c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56"/>
    </row>
    <row r="2680" spans="1:22" x14ac:dyDescent="0.25">
      <c r="A2680" s="25">
        <v>2669</v>
      </c>
      <c r="B2680" s="23"/>
      <c r="C2680" s="69" t="s">
        <v>878</v>
      </c>
      <c r="D2680" s="23"/>
      <c r="E2680" s="148">
        <f>30*2</f>
        <v>60</v>
      </c>
      <c r="F2680" s="23" t="s">
        <v>37</v>
      </c>
      <c r="G2680" s="97">
        <v>180</v>
      </c>
      <c r="H2680" s="165">
        <f>G2680*E2680</f>
        <v>10800</v>
      </c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56"/>
    </row>
    <row r="2681" spans="1:22" x14ac:dyDescent="0.25">
      <c r="A2681" s="25">
        <v>2670</v>
      </c>
      <c r="B2681" s="23"/>
      <c r="C2681" s="69" t="s">
        <v>879</v>
      </c>
      <c r="D2681" s="23"/>
      <c r="E2681" s="148"/>
      <c r="F2681" s="23"/>
      <c r="G2681" s="97"/>
      <c r="H2681" s="165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56"/>
    </row>
    <row r="2682" spans="1:22" x14ac:dyDescent="0.25">
      <c r="A2682" s="25">
        <v>2671</v>
      </c>
      <c r="B2682" s="23"/>
      <c r="C2682" s="69" t="s">
        <v>880</v>
      </c>
      <c r="D2682" s="23"/>
      <c r="E2682" s="148">
        <f>30*3</f>
        <v>90</v>
      </c>
      <c r="F2682" s="23" t="s">
        <v>37</v>
      </c>
      <c r="G2682" s="97">
        <v>120</v>
      </c>
      <c r="H2682" s="165">
        <f>G2682*E2682</f>
        <v>10800</v>
      </c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56"/>
    </row>
    <row r="2683" spans="1:22" x14ac:dyDescent="0.25">
      <c r="A2683" s="25">
        <v>2672</v>
      </c>
      <c r="B2683" s="23"/>
      <c r="C2683" s="69" t="s">
        <v>881</v>
      </c>
      <c r="D2683" s="23"/>
      <c r="E2683" s="148">
        <f>30*3</f>
        <v>90</v>
      </c>
      <c r="F2683" s="23" t="s">
        <v>37</v>
      </c>
      <c r="G2683" s="97">
        <v>180</v>
      </c>
      <c r="H2683" s="165">
        <f>G2683*E2683</f>
        <v>16200</v>
      </c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56"/>
    </row>
    <row r="2684" spans="1:22" x14ac:dyDescent="0.25">
      <c r="A2684" s="25">
        <v>2673</v>
      </c>
      <c r="B2684" s="23"/>
      <c r="C2684" s="69" t="s">
        <v>882</v>
      </c>
      <c r="D2684" s="23"/>
      <c r="E2684" s="148"/>
      <c r="F2684" s="23"/>
      <c r="G2684" s="97"/>
      <c r="H2684" s="165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56"/>
    </row>
    <row r="2685" spans="1:22" x14ac:dyDescent="0.25">
      <c r="A2685" s="25">
        <v>2674</v>
      </c>
      <c r="B2685" s="23"/>
      <c r="C2685" s="69" t="s">
        <v>877</v>
      </c>
      <c r="D2685" s="23"/>
      <c r="E2685" s="148">
        <f t="shared" ref="E2685:E2686" si="202">30*2</f>
        <v>60</v>
      </c>
      <c r="F2685" s="23" t="s">
        <v>37</v>
      </c>
      <c r="G2685" s="97">
        <v>120</v>
      </c>
      <c r="H2685" s="165">
        <f>G2685*E2685</f>
        <v>7200</v>
      </c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56"/>
    </row>
    <row r="2686" spans="1:22" x14ac:dyDescent="0.25">
      <c r="A2686" s="25">
        <v>2675</v>
      </c>
      <c r="B2686" s="23"/>
      <c r="C2686" s="69" t="s">
        <v>878</v>
      </c>
      <c r="D2686" s="23"/>
      <c r="E2686" s="148">
        <f t="shared" si="202"/>
        <v>60</v>
      </c>
      <c r="F2686" s="23" t="s">
        <v>37</v>
      </c>
      <c r="G2686" s="97">
        <v>180</v>
      </c>
      <c r="H2686" s="165">
        <f>G2686*E2686</f>
        <v>10800</v>
      </c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56"/>
    </row>
    <row r="2687" spans="1:22" x14ac:dyDescent="0.25">
      <c r="A2687" s="25">
        <v>2676</v>
      </c>
      <c r="B2687" s="23"/>
      <c r="C2687" s="14"/>
      <c r="D2687" s="23"/>
      <c r="E2687" s="84"/>
      <c r="F2687" s="23"/>
      <c r="G2687" s="165"/>
      <c r="H2687" s="165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56"/>
    </row>
    <row r="2688" spans="1:22" ht="30" x14ac:dyDescent="0.25">
      <c r="A2688" s="25">
        <v>2677</v>
      </c>
      <c r="B2688" s="89" t="s">
        <v>222</v>
      </c>
      <c r="C2688" s="90" t="s">
        <v>232</v>
      </c>
      <c r="D2688" s="89" t="s">
        <v>27</v>
      </c>
      <c r="E2688" s="89"/>
      <c r="F2688" s="89"/>
      <c r="G2688" s="163"/>
      <c r="H2688" s="167">
        <v>107100</v>
      </c>
      <c r="I2688" s="89" t="s">
        <v>52</v>
      </c>
      <c r="J2688" s="60"/>
      <c r="K2688" s="60"/>
      <c r="L2688" s="60"/>
      <c r="M2688" s="60">
        <v>1</v>
      </c>
      <c r="N2688" s="60"/>
      <c r="O2688" s="60"/>
      <c r="P2688" s="60"/>
      <c r="Q2688" s="60"/>
      <c r="R2688" s="60"/>
      <c r="S2688" s="60"/>
      <c r="T2688" s="60"/>
      <c r="U2688" s="60"/>
      <c r="V2688" s="56"/>
    </row>
    <row r="2689" spans="1:22" x14ac:dyDescent="0.25">
      <c r="A2689" s="25">
        <v>2678</v>
      </c>
      <c r="B2689" s="23"/>
      <c r="C2689" s="14" t="s">
        <v>693</v>
      </c>
      <c r="D2689" s="23"/>
      <c r="E2689" s="84">
        <v>15</v>
      </c>
      <c r="F2689" s="23" t="s">
        <v>37</v>
      </c>
      <c r="G2689" s="165">
        <v>1800</v>
      </c>
      <c r="H2689" s="165">
        <v>27000</v>
      </c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56"/>
    </row>
    <row r="2690" spans="1:22" x14ac:dyDescent="0.25">
      <c r="A2690" s="25">
        <v>2679</v>
      </c>
      <c r="B2690" s="23"/>
      <c r="C2690" s="14" t="s">
        <v>694</v>
      </c>
      <c r="D2690" s="23"/>
      <c r="E2690" s="84">
        <v>15</v>
      </c>
      <c r="F2690" s="23" t="s">
        <v>37</v>
      </c>
      <c r="G2690" s="165">
        <v>2700</v>
      </c>
      <c r="H2690" s="165">
        <v>40500</v>
      </c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56"/>
    </row>
    <row r="2691" spans="1:22" x14ac:dyDescent="0.25">
      <c r="A2691" s="25">
        <v>2680</v>
      </c>
      <c r="B2691" s="23"/>
      <c r="C2691" s="14" t="s">
        <v>695</v>
      </c>
      <c r="D2691" s="23"/>
      <c r="E2691" s="84">
        <v>15</v>
      </c>
      <c r="F2691" s="23" t="s">
        <v>37</v>
      </c>
      <c r="G2691" s="165">
        <v>1800</v>
      </c>
      <c r="H2691" s="165">
        <v>27000</v>
      </c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56"/>
    </row>
    <row r="2692" spans="1:22" ht="28.5" x14ac:dyDescent="0.25">
      <c r="A2692" s="25">
        <v>2681</v>
      </c>
      <c r="B2692" s="23"/>
      <c r="C2692" s="14" t="s">
        <v>696</v>
      </c>
      <c r="D2692" s="23"/>
      <c r="E2692" s="84">
        <v>15</v>
      </c>
      <c r="F2692" s="23" t="s">
        <v>37</v>
      </c>
      <c r="G2692" s="165">
        <v>240</v>
      </c>
      <c r="H2692" s="165">
        <v>3600</v>
      </c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56"/>
    </row>
    <row r="2693" spans="1:22" ht="28.5" x14ac:dyDescent="0.25">
      <c r="A2693" s="25">
        <v>2682</v>
      </c>
      <c r="B2693" s="23"/>
      <c r="C2693" s="14" t="s">
        <v>697</v>
      </c>
      <c r="D2693" s="23"/>
      <c r="E2693" s="84">
        <v>15</v>
      </c>
      <c r="F2693" s="23" t="s">
        <v>37</v>
      </c>
      <c r="G2693" s="165">
        <v>360</v>
      </c>
      <c r="H2693" s="165">
        <v>5400</v>
      </c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56"/>
    </row>
    <row r="2694" spans="1:22" ht="28.5" x14ac:dyDescent="0.25">
      <c r="A2694" s="25">
        <v>2683</v>
      </c>
      <c r="B2694" s="23"/>
      <c r="C2694" s="14" t="s">
        <v>698</v>
      </c>
      <c r="D2694" s="23"/>
      <c r="E2694" s="84">
        <v>15</v>
      </c>
      <c r="F2694" s="23" t="s">
        <v>37</v>
      </c>
      <c r="G2694" s="165">
        <v>240</v>
      </c>
      <c r="H2694" s="165">
        <v>3600</v>
      </c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56"/>
    </row>
    <row r="2695" spans="1:22" x14ac:dyDescent="0.25">
      <c r="A2695" s="25">
        <v>2684</v>
      </c>
      <c r="B2695" s="23"/>
      <c r="C2695" s="14"/>
      <c r="D2695" s="23"/>
      <c r="E2695" s="84"/>
      <c r="F2695" s="23"/>
      <c r="G2695" s="165"/>
      <c r="H2695" s="165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56"/>
    </row>
    <row r="2696" spans="1:22" ht="30" x14ac:dyDescent="0.25">
      <c r="A2696" s="25">
        <v>2685</v>
      </c>
      <c r="B2696" s="89" t="s">
        <v>222</v>
      </c>
      <c r="C2696" s="90" t="s">
        <v>103</v>
      </c>
      <c r="D2696" s="89" t="s">
        <v>27</v>
      </c>
      <c r="E2696" s="89"/>
      <c r="F2696" s="89"/>
      <c r="G2696" s="163"/>
      <c r="H2696" s="167">
        <v>1092500</v>
      </c>
      <c r="I2696" s="89" t="s">
        <v>52</v>
      </c>
      <c r="J2696" s="60">
        <v>1</v>
      </c>
      <c r="K2696" s="60"/>
      <c r="L2696" s="60"/>
      <c r="M2696" s="60">
        <v>1</v>
      </c>
      <c r="N2696" s="60"/>
      <c r="O2696" s="60"/>
      <c r="P2696" s="60">
        <v>2</v>
      </c>
      <c r="Q2696" s="60"/>
      <c r="R2696" s="60"/>
      <c r="S2696" s="60">
        <v>1</v>
      </c>
      <c r="T2696" s="60"/>
      <c r="U2696" s="60"/>
      <c r="V2696" s="56"/>
    </row>
    <row r="2697" spans="1:22" x14ac:dyDescent="0.25">
      <c r="A2697" s="25">
        <v>2686</v>
      </c>
      <c r="B2697" s="23"/>
      <c r="C2697" s="14" t="s">
        <v>54</v>
      </c>
      <c r="D2697" s="23"/>
      <c r="E2697" s="84"/>
      <c r="F2697" s="23"/>
      <c r="G2697" s="165"/>
      <c r="H2697" s="165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56"/>
    </row>
    <row r="2698" spans="1:22" x14ac:dyDescent="0.25">
      <c r="A2698" s="25">
        <v>2687</v>
      </c>
      <c r="B2698" s="23"/>
      <c r="C2698" s="6" t="s">
        <v>1091</v>
      </c>
      <c r="D2698" s="23"/>
      <c r="E2698" s="1">
        <f>115*20</f>
        <v>2300</v>
      </c>
      <c r="F2698" s="2" t="s">
        <v>37</v>
      </c>
      <c r="G2698" s="45">
        <v>120</v>
      </c>
      <c r="H2698" s="165">
        <f>G2698*E2698</f>
        <v>276000</v>
      </c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56"/>
    </row>
    <row r="2699" spans="1:22" x14ac:dyDescent="0.25">
      <c r="A2699" s="25">
        <v>2688</v>
      </c>
      <c r="B2699" s="23"/>
      <c r="C2699" s="11" t="s">
        <v>1092</v>
      </c>
      <c r="D2699" s="23"/>
      <c r="E2699" s="1">
        <f t="shared" ref="E2699:E2701" si="203">115*20</f>
        <v>2300</v>
      </c>
      <c r="F2699" s="2" t="s">
        <v>37</v>
      </c>
      <c r="G2699" s="45">
        <v>180</v>
      </c>
      <c r="H2699" s="165">
        <f t="shared" ref="H2699:H2701" si="204">G2699*E2699</f>
        <v>414000</v>
      </c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56"/>
    </row>
    <row r="2700" spans="1:22" x14ac:dyDescent="0.25">
      <c r="A2700" s="25">
        <v>2689</v>
      </c>
      <c r="B2700" s="23"/>
      <c r="C2700" s="11" t="s">
        <v>1093</v>
      </c>
      <c r="D2700" s="23"/>
      <c r="E2700" s="1">
        <f t="shared" si="203"/>
        <v>2300</v>
      </c>
      <c r="F2700" s="2" t="s">
        <v>37</v>
      </c>
      <c r="G2700" s="45">
        <v>120</v>
      </c>
      <c r="H2700" s="165">
        <f t="shared" si="204"/>
        <v>276000</v>
      </c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56"/>
    </row>
    <row r="2701" spans="1:22" x14ac:dyDescent="0.25">
      <c r="A2701" s="25">
        <v>2690</v>
      </c>
      <c r="B2701" s="23"/>
      <c r="C2701" s="11" t="s">
        <v>1094</v>
      </c>
      <c r="D2701" s="23"/>
      <c r="E2701" s="8">
        <f t="shared" si="203"/>
        <v>2300</v>
      </c>
      <c r="F2701" s="2" t="s">
        <v>152</v>
      </c>
      <c r="G2701" s="45">
        <v>55</v>
      </c>
      <c r="H2701" s="165">
        <f t="shared" si="204"/>
        <v>126500</v>
      </c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56"/>
    </row>
    <row r="2702" spans="1:22" x14ac:dyDescent="0.25">
      <c r="A2702" s="25">
        <v>2691</v>
      </c>
      <c r="B2702" s="23"/>
      <c r="C2702" s="14"/>
      <c r="D2702" s="23"/>
      <c r="E2702" s="84"/>
      <c r="F2702" s="23"/>
      <c r="G2702" s="165"/>
      <c r="H2702" s="165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56"/>
    </row>
    <row r="2703" spans="1:22" ht="30" x14ac:dyDescent="0.25">
      <c r="A2703" s="25">
        <v>2692</v>
      </c>
      <c r="B2703" s="89" t="s">
        <v>222</v>
      </c>
      <c r="C2703" s="90" t="s">
        <v>43</v>
      </c>
      <c r="D2703" s="89" t="s">
        <v>27</v>
      </c>
      <c r="E2703" s="89"/>
      <c r="F2703" s="89"/>
      <c r="G2703" s="163"/>
      <c r="H2703" s="167">
        <v>2610600</v>
      </c>
      <c r="I2703" s="89" t="s">
        <v>52</v>
      </c>
      <c r="J2703" s="60"/>
      <c r="K2703" s="60">
        <v>3</v>
      </c>
      <c r="L2703" s="60">
        <v>2</v>
      </c>
      <c r="M2703" s="60">
        <v>2</v>
      </c>
      <c r="N2703" s="60">
        <v>2</v>
      </c>
      <c r="O2703" s="60">
        <v>1</v>
      </c>
      <c r="P2703" s="60">
        <v>2</v>
      </c>
      <c r="Q2703" s="60">
        <v>1</v>
      </c>
      <c r="R2703" s="60">
        <v>1</v>
      </c>
      <c r="S2703" s="60">
        <v>2</v>
      </c>
      <c r="T2703" s="60">
        <v>1</v>
      </c>
      <c r="U2703" s="60"/>
      <c r="V2703" s="56"/>
    </row>
    <row r="2704" spans="1:22" x14ac:dyDescent="0.25">
      <c r="A2704" s="25">
        <v>2693</v>
      </c>
      <c r="B2704" s="23"/>
      <c r="C2704" s="14" t="s">
        <v>54</v>
      </c>
      <c r="D2704" s="23"/>
      <c r="E2704" s="84"/>
      <c r="F2704" s="23"/>
      <c r="G2704" s="165"/>
      <c r="H2704" s="165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56"/>
    </row>
    <row r="2705" spans="1:22" x14ac:dyDescent="0.25">
      <c r="A2705" s="25">
        <v>2694</v>
      </c>
      <c r="B2705" s="23"/>
      <c r="C2705" s="63" t="s">
        <v>1015</v>
      </c>
      <c r="D2705" s="23"/>
      <c r="E2705" s="25">
        <f>30*50</f>
        <v>1500</v>
      </c>
      <c r="F2705" s="138" t="s">
        <v>37</v>
      </c>
      <c r="G2705" s="46">
        <v>150</v>
      </c>
      <c r="H2705" s="165">
        <f>G2705*E2705</f>
        <v>225000</v>
      </c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56"/>
    </row>
    <row r="2706" spans="1:22" x14ac:dyDescent="0.25">
      <c r="A2706" s="25">
        <v>2695</v>
      </c>
      <c r="B2706" s="23"/>
      <c r="C2706" s="63" t="s">
        <v>1016</v>
      </c>
      <c r="D2706" s="23"/>
      <c r="E2706" s="25">
        <f>80*50</f>
        <v>4000</v>
      </c>
      <c r="F2706" s="138" t="s">
        <v>37</v>
      </c>
      <c r="G2706" s="46">
        <v>120</v>
      </c>
      <c r="H2706" s="165">
        <f t="shared" ref="H2706:H2709" si="205">G2706*E2706</f>
        <v>480000</v>
      </c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56"/>
    </row>
    <row r="2707" spans="1:22" x14ac:dyDescent="0.25">
      <c r="A2707" s="25">
        <v>2696</v>
      </c>
      <c r="B2707" s="23"/>
      <c r="C2707" s="63" t="s">
        <v>1017</v>
      </c>
      <c r="D2707" s="23"/>
      <c r="E2707" s="25">
        <f t="shared" ref="E2707:E2708" si="206">80*50</f>
        <v>4000</v>
      </c>
      <c r="F2707" s="138" t="s">
        <v>37</v>
      </c>
      <c r="G2707" s="46">
        <v>180</v>
      </c>
      <c r="H2707" s="165">
        <f t="shared" si="205"/>
        <v>720000</v>
      </c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56"/>
    </row>
    <row r="2708" spans="1:22" x14ac:dyDescent="0.25">
      <c r="A2708" s="25">
        <v>2697</v>
      </c>
      <c r="B2708" s="23"/>
      <c r="C2708" s="63" t="s">
        <v>1018</v>
      </c>
      <c r="D2708" s="23"/>
      <c r="E2708" s="25">
        <f t="shared" si="206"/>
        <v>4000</v>
      </c>
      <c r="F2708" s="138" t="s">
        <v>37</v>
      </c>
      <c r="G2708" s="46">
        <v>120</v>
      </c>
      <c r="H2708" s="165">
        <f t="shared" si="205"/>
        <v>480000</v>
      </c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56"/>
    </row>
    <row r="2709" spans="1:22" x14ac:dyDescent="0.25">
      <c r="A2709" s="25">
        <v>2698</v>
      </c>
      <c r="B2709" s="23"/>
      <c r="C2709" s="61" t="s">
        <v>1019</v>
      </c>
      <c r="D2709" s="23"/>
      <c r="E2709" s="25">
        <f>80*49</f>
        <v>3920</v>
      </c>
      <c r="F2709" s="139" t="s">
        <v>37</v>
      </c>
      <c r="G2709" s="196">
        <v>180</v>
      </c>
      <c r="H2709" s="165">
        <f t="shared" si="205"/>
        <v>705600</v>
      </c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56"/>
    </row>
    <row r="2710" spans="1:22" x14ac:dyDescent="0.25">
      <c r="A2710" s="25">
        <v>2699</v>
      </c>
      <c r="B2710" s="23"/>
      <c r="C2710" s="14"/>
      <c r="D2710" s="23"/>
      <c r="E2710" s="84"/>
      <c r="F2710" s="23"/>
      <c r="G2710" s="165"/>
      <c r="H2710" s="165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56"/>
    </row>
    <row r="2711" spans="1:22" ht="30" x14ac:dyDescent="0.25">
      <c r="A2711" s="25">
        <v>2700</v>
      </c>
      <c r="B2711" s="89" t="s">
        <v>222</v>
      </c>
      <c r="C2711" s="90" t="s">
        <v>647</v>
      </c>
      <c r="D2711" s="89" t="s">
        <v>27</v>
      </c>
      <c r="E2711" s="89"/>
      <c r="F2711" s="89"/>
      <c r="G2711" s="163"/>
      <c r="H2711" s="167">
        <v>28800</v>
      </c>
      <c r="I2711" s="89" t="s">
        <v>52</v>
      </c>
      <c r="J2711" s="60">
        <v>1</v>
      </c>
      <c r="K2711" s="60"/>
      <c r="L2711" s="60"/>
      <c r="M2711" s="60"/>
      <c r="N2711" s="60"/>
      <c r="O2711" s="60"/>
      <c r="P2711" s="60"/>
      <c r="Q2711" s="60"/>
      <c r="R2711" s="60"/>
      <c r="S2711" s="60"/>
      <c r="T2711" s="60"/>
      <c r="U2711" s="60"/>
      <c r="V2711" s="56"/>
    </row>
    <row r="2712" spans="1:22" ht="28.5" x14ac:dyDescent="0.25">
      <c r="A2712" s="25">
        <v>2701</v>
      </c>
      <c r="B2712" s="23"/>
      <c r="C2712" s="14" t="s">
        <v>691</v>
      </c>
      <c r="D2712" s="23"/>
      <c r="E2712" s="84">
        <v>30</v>
      </c>
      <c r="F2712" s="23" t="s">
        <v>37</v>
      </c>
      <c r="G2712" s="165">
        <v>480</v>
      </c>
      <c r="H2712" s="165">
        <v>14400</v>
      </c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56"/>
    </row>
    <row r="2713" spans="1:22" ht="28.5" x14ac:dyDescent="0.25">
      <c r="A2713" s="25">
        <v>2702</v>
      </c>
      <c r="B2713" s="23"/>
      <c r="C2713" s="14" t="s">
        <v>692</v>
      </c>
      <c r="D2713" s="23"/>
      <c r="E2713" s="84">
        <v>30</v>
      </c>
      <c r="F2713" s="23" t="s">
        <v>37</v>
      </c>
      <c r="G2713" s="165">
        <v>480</v>
      </c>
      <c r="H2713" s="165">
        <v>14400</v>
      </c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56"/>
    </row>
    <row r="2714" spans="1:22" x14ac:dyDescent="0.25">
      <c r="A2714" s="25">
        <v>2703</v>
      </c>
      <c r="B2714" s="23"/>
      <c r="C2714" s="14"/>
      <c r="D2714" s="23"/>
      <c r="E2714" s="84"/>
      <c r="F2714" s="23"/>
      <c r="G2714" s="165"/>
      <c r="H2714" s="165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56"/>
    </row>
    <row r="2715" spans="1:22" ht="30" x14ac:dyDescent="0.25">
      <c r="A2715" s="25">
        <v>2704</v>
      </c>
      <c r="B2715" s="89" t="s">
        <v>222</v>
      </c>
      <c r="C2715" s="90" t="s">
        <v>100</v>
      </c>
      <c r="D2715" s="89" t="s">
        <v>27</v>
      </c>
      <c r="E2715" s="89"/>
      <c r="F2715" s="89"/>
      <c r="G2715" s="163"/>
      <c r="H2715" s="167">
        <v>120960</v>
      </c>
      <c r="I2715" s="89" t="s">
        <v>52</v>
      </c>
      <c r="J2715" s="60">
        <v>1</v>
      </c>
      <c r="K2715" s="60"/>
      <c r="L2715" s="60"/>
      <c r="M2715" s="60"/>
      <c r="N2715" s="60"/>
      <c r="O2715" s="60"/>
      <c r="P2715" s="60"/>
      <c r="Q2715" s="60"/>
      <c r="R2715" s="60"/>
      <c r="S2715" s="60"/>
      <c r="T2715" s="60"/>
      <c r="U2715" s="60"/>
      <c r="V2715" s="56"/>
    </row>
    <row r="2716" spans="1:22" x14ac:dyDescent="0.25">
      <c r="A2716" s="25">
        <v>2705</v>
      </c>
      <c r="B2716" s="23"/>
      <c r="C2716" s="14" t="s">
        <v>1438</v>
      </c>
      <c r="D2716" s="23"/>
      <c r="E2716" s="84"/>
      <c r="F2716" s="23"/>
      <c r="G2716" s="165"/>
      <c r="H2716" s="165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56"/>
    </row>
    <row r="2717" spans="1:22" x14ac:dyDescent="0.25">
      <c r="A2717" s="25">
        <v>2706</v>
      </c>
      <c r="B2717" s="23"/>
      <c r="C2717" s="77" t="s">
        <v>1058</v>
      </c>
      <c r="D2717" s="23"/>
      <c r="E2717" s="29">
        <f>9*32</f>
        <v>288</v>
      </c>
      <c r="F2717" s="29" t="s">
        <v>37</v>
      </c>
      <c r="G2717" s="44">
        <v>120</v>
      </c>
      <c r="H2717" s="165">
        <f>G2717*E2717</f>
        <v>34560</v>
      </c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56"/>
    </row>
    <row r="2718" spans="1:22" x14ac:dyDescent="0.25">
      <c r="A2718" s="25">
        <v>2707</v>
      </c>
      <c r="B2718" s="23"/>
      <c r="C2718" s="77" t="s">
        <v>1059</v>
      </c>
      <c r="D2718" s="23"/>
      <c r="E2718" s="29">
        <f t="shared" ref="E2718:E2719" si="207">9*32</f>
        <v>288</v>
      </c>
      <c r="F2718" s="29" t="s">
        <v>37</v>
      </c>
      <c r="G2718" s="44">
        <v>180</v>
      </c>
      <c r="H2718" s="165">
        <f t="shared" ref="H2718:H2719" si="208">G2718*E2718</f>
        <v>51840</v>
      </c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56"/>
    </row>
    <row r="2719" spans="1:22" x14ac:dyDescent="0.25">
      <c r="A2719" s="25">
        <v>2708</v>
      </c>
      <c r="B2719" s="23"/>
      <c r="C2719" s="77" t="s">
        <v>1060</v>
      </c>
      <c r="D2719" s="23"/>
      <c r="E2719" s="29">
        <f t="shared" si="207"/>
        <v>288</v>
      </c>
      <c r="F2719" s="29" t="s">
        <v>37</v>
      </c>
      <c r="G2719" s="44">
        <v>120</v>
      </c>
      <c r="H2719" s="165">
        <f t="shared" si="208"/>
        <v>34560</v>
      </c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56"/>
    </row>
    <row r="2720" spans="1:22" x14ac:dyDescent="0.25">
      <c r="A2720" s="25">
        <v>2709</v>
      </c>
      <c r="B2720" s="23"/>
      <c r="C2720" s="14"/>
      <c r="D2720" s="23"/>
      <c r="E2720" s="84"/>
      <c r="F2720" s="23"/>
      <c r="G2720" s="165"/>
      <c r="H2720" s="165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56"/>
    </row>
    <row r="2721" spans="1:22" ht="30" x14ac:dyDescent="0.25">
      <c r="A2721" s="25">
        <v>2710</v>
      </c>
      <c r="B2721" s="89" t="s">
        <v>222</v>
      </c>
      <c r="C2721" s="90" t="s">
        <v>44</v>
      </c>
      <c r="D2721" s="89" t="s">
        <v>27</v>
      </c>
      <c r="E2721" s="89"/>
      <c r="F2721" s="89"/>
      <c r="G2721" s="163"/>
      <c r="H2721" s="167">
        <v>1310400</v>
      </c>
      <c r="I2721" s="89" t="s">
        <v>52</v>
      </c>
      <c r="J2721" s="60"/>
      <c r="K2721" s="60"/>
      <c r="L2721" s="60"/>
      <c r="M2721" s="60"/>
      <c r="N2721" s="60"/>
      <c r="O2721" s="60">
        <v>1</v>
      </c>
      <c r="P2721" s="60"/>
      <c r="Q2721" s="60"/>
      <c r="R2721" s="60"/>
      <c r="S2721" s="60"/>
      <c r="T2721" s="60">
        <v>1</v>
      </c>
      <c r="U2721" s="60"/>
      <c r="V2721" s="56"/>
    </row>
    <row r="2722" spans="1:22" x14ac:dyDescent="0.25">
      <c r="A2722" s="25">
        <v>2711</v>
      </c>
      <c r="B2722" s="23"/>
      <c r="C2722" s="14" t="s">
        <v>54</v>
      </c>
      <c r="D2722" s="23"/>
      <c r="E2722" s="84"/>
      <c r="F2722" s="23"/>
      <c r="G2722" s="165"/>
      <c r="H2722" s="165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56"/>
    </row>
    <row r="2723" spans="1:22" x14ac:dyDescent="0.25">
      <c r="A2723" s="25">
        <v>2712</v>
      </c>
      <c r="B2723" s="23"/>
      <c r="C2723" s="14" t="s">
        <v>891</v>
      </c>
      <c r="D2723" s="23"/>
      <c r="E2723" s="84"/>
      <c r="F2723" s="23"/>
      <c r="G2723" s="165"/>
      <c r="H2723" s="165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56"/>
    </row>
    <row r="2724" spans="1:22" x14ac:dyDescent="0.25">
      <c r="A2724" s="25">
        <v>2713</v>
      </c>
      <c r="B2724" s="23"/>
      <c r="C2724" s="6" t="s">
        <v>246</v>
      </c>
      <c r="D2724" s="23"/>
      <c r="E2724" s="7">
        <v>1040</v>
      </c>
      <c r="F2724" s="2" t="s">
        <v>37</v>
      </c>
      <c r="G2724" s="141">
        <v>120</v>
      </c>
      <c r="H2724" s="165">
        <f>G2724*E2724</f>
        <v>124800</v>
      </c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56"/>
    </row>
    <row r="2725" spans="1:22" x14ac:dyDescent="0.25">
      <c r="A2725" s="25">
        <v>2714</v>
      </c>
      <c r="B2725" s="23"/>
      <c r="C2725" s="11" t="s">
        <v>346</v>
      </c>
      <c r="D2725" s="23"/>
      <c r="E2725" s="7">
        <v>1040</v>
      </c>
      <c r="F2725" s="2" t="s">
        <v>37</v>
      </c>
      <c r="G2725" s="141">
        <v>180</v>
      </c>
      <c r="H2725" s="165">
        <f t="shared" ref="H2725:H2726" si="209">G2725*E2725</f>
        <v>187200</v>
      </c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56"/>
    </row>
    <row r="2726" spans="1:22" x14ac:dyDescent="0.25">
      <c r="A2726" s="25">
        <v>2715</v>
      </c>
      <c r="B2726" s="23"/>
      <c r="C2726" s="11" t="s">
        <v>892</v>
      </c>
      <c r="D2726" s="23"/>
      <c r="E2726" s="7">
        <v>1040</v>
      </c>
      <c r="F2726" s="2" t="s">
        <v>37</v>
      </c>
      <c r="G2726" s="141">
        <v>120</v>
      </c>
      <c r="H2726" s="165">
        <f t="shared" si="209"/>
        <v>124800</v>
      </c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56"/>
    </row>
    <row r="2727" spans="1:22" x14ac:dyDescent="0.25">
      <c r="A2727" s="25">
        <v>2716</v>
      </c>
      <c r="B2727" s="23"/>
      <c r="C2727" s="16" t="s">
        <v>893</v>
      </c>
      <c r="D2727" s="23"/>
      <c r="E2727" s="84"/>
      <c r="F2727" s="23"/>
      <c r="G2727" s="165"/>
      <c r="H2727" s="165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56"/>
    </row>
    <row r="2728" spans="1:22" ht="28.5" x14ac:dyDescent="0.25">
      <c r="A2728" s="25">
        <v>2717</v>
      </c>
      <c r="B2728" s="23"/>
      <c r="C2728" s="14" t="s">
        <v>894</v>
      </c>
      <c r="D2728" s="23"/>
      <c r="E2728" s="84"/>
      <c r="F2728" s="23"/>
      <c r="G2728" s="165"/>
      <c r="H2728" s="165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56"/>
    </row>
    <row r="2729" spans="1:22" x14ac:dyDescent="0.25">
      <c r="A2729" s="25">
        <v>2718</v>
      </c>
      <c r="B2729" s="23"/>
      <c r="C2729" s="6" t="s">
        <v>246</v>
      </c>
      <c r="D2729" s="23"/>
      <c r="E2729" s="7">
        <f>2*1040</f>
        <v>2080</v>
      </c>
      <c r="F2729" s="2" t="s">
        <v>37</v>
      </c>
      <c r="G2729" s="141">
        <v>120</v>
      </c>
      <c r="H2729" s="165">
        <f>G2729*E2729</f>
        <v>249600</v>
      </c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56"/>
    </row>
    <row r="2730" spans="1:22" x14ac:dyDescent="0.25">
      <c r="A2730" s="25">
        <v>2719</v>
      </c>
      <c r="B2730" s="23"/>
      <c r="C2730" s="11" t="s">
        <v>346</v>
      </c>
      <c r="D2730" s="23"/>
      <c r="E2730" s="7">
        <f t="shared" ref="E2730:E2731" si="210">2*1040</f>
        <v>2080</v>
      </c>
      <c r="F2730" s="2" t="s">
        <v>37</v>
      </c>
      <c r="G2730" s="141">
        <v>180</v>
      </c>
      <c r="H2730" s="165">
        <f t="shared" ref="H2730:H2731" si="211">G2730*E2730</f>
        <v>374400</v>
      </c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56"/>
    </row>
    <row r="2731" spans="1:22" x14ac:dyDescent="0.25">
      <c r="A2731" s="25">
        <v>2720</v>
      </c>
      <c r="B2731" s="23"/>
      <c r="C2731" s="11" t="s">
        <v>892</v>
      </c>
      <c r="D2731" s="23"/>
      <c r="E2731" s="7">
        <f t="shared" si="210"/>
        <v>2080</v>
      </c>
      <c r="F2731" s="2" t="s">
        <v>37</v>
      </c>
      <c r="G2731" s="141">
        <v>120</v>
      </c>
      <c r="H2731" s="165">
        <f t="shared" si="211"/>
        <v>249600</v>
      </c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56"/>
    </row>
    <row r="2732" spans="1:22" x14ac:dyDescent="0.25">
      <c r="A2732" s="25">
        <v>2721</v>
      </c>
      <c r="B2732" s="23"/>
      <c r="C2732" s="14"/>
      <c r="D2732" s="23"/>
      <c r="E2732" s="84"/>
      <c r="F2732" s="23"/>
      <c r="G2732" s="165"/>
      <c r="H2732" s="165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56"/>
    </row>
    <row r="2733" spans="1:22" ht="30" x14ac:dyDescent="0.25">
      <c r="A2733" s="25">
        <v>2722</v>
      </c>
      <c r="B2733" s="89" t="s">
        <v>222</v>
      </c>
      <c r="C2733" s="90" t="s">
        <v>233</v>
      </c>
      <c r="D2733" s="89" t="s">
        <v>27</v>
      </c>
      <c r="E2733" s="89"/>
      <c r="F2733" s="89"/>
      <c r="G2733" s="163"/>
      <c r="H2733" s="167">
        <v>798000</v>
      </c>
      <c r="I2733" s="89" t="s">
        <v>52</v>
      </c>
      <c r="J2733" s="60">
        <v>1</v>
      </c>
      <c r="K2733" s="60">
        <v>1</v>
      </c>
      <c r="L2733" s="60">
        <v>1</v>
      </c>
      <c r="M2733" s="60">
        <v>1</v>
      </c>
      <c r="N2733" s="60">
        <v>1</v>
      </c>
      <c r="O2733" s="60">
        <v>1</v>
      </c>
      <c r="P2733" s="60">
        <v>1</v>
      </c>
      <c r="Q2733" s="60">
        <v>1</v>
      </c>
      <c r="R2733" s="60">
        <v>1</v>
      </c>
      <c r="S2733" s="60">
        <v>1</v>
      </c>
      <c r="T2733" s="60">
        <v>1</v>
      </c>
      <c r="U2733" s="60">
        <v>1</v>
      </c>
      <c r="V2733" s="56"/>
    </row>
    <row r="2734" spans="1:22" x14ac:dyDescent="0.25">
      <c r="A2734" s="25">
        <v>2723</v>
      </c>
      <c r="B2734" s="23"/>
      <c r="C2734" s="14" t="s">
        <v>54</v>
      </c>
      <c r="D2734" s="23"/>
      <c r="E2734" s="84"/>
      <c r="F2734" s="23"/>
      <c r="G2734" s="165"/>
      <c r="H2734" s="165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56"/>
    </row>
    <row r="2735" spans="1:22" ht="15" x14ac:dyDescent="0.25">
      <c r="A2735" s="25">
        <v>2724</v>
      </c>
      <c r="B2735" s="23"/>
      <c r="C2735" s="63" t="s">
        <v>1403</v>
      </c>
      <c r="D2735" s="23"/>
      <c r="E2735" s="84"/>
      <c r="F2735" s="23"/>
      <c r="G2735" s="165"/>
      <c r="H2735" s="165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56"/>
    </row>
    <row r="2736" spans="1:22" x14ac:dyDescent="0.25">
      <c r="A2736" s="25">
        <v>2725</v>
      </c>
      <c r="B2736" s="23"/>
      <c r="C2736" s="63" t="s">
        <v>1262</v>
      </c>
      <c r="D2736" s="23"/>
      <c r="E2736" s="64">
        <f>25*10*4</f>
        <v>1000</v>
      </c>
      <c r="F2736" s="64" t="s">
        <v>37</v>
      </c>
      <c r="G2736" s="168">
        <v>120</v>
      </c>
      <c r="H2736" s="165">
        <f>G2736*E2736</f>
        <v>120000</v>
      </c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56"/>
    </row>
    <row r="2737" spans="1:22" x14ac:dyDescent="0.25">
      <c r="A2737" s="25">
        <v>2726</v>
      </c>
      <c r="B2737" s="23"/>
      <c r="C2737" s="63" t="s">
        <v>1263</v>
      </c>
      <c r="D2737" s="23"/>
      <c r="E2737" s="64">
        <f t="shared" ref="E2737:E2738" si="212">25*10*4</f>
        <v>1000</v>
      </c>
      <c r="F2737" s="64" t="s">
        <v>37</v>
      </c>
      <c r="G2737" s="168">
        <v>180</v>
      </c>
      <c r="H2737" s="165">
        <f t="shared" ref="H2737:H2738" si="213">G2737*E2737</f>
        <v>180000</v>
      </c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56"/>
    </row>
    <row r="2738" spans="1:22" x14ac:dyDescent="0.25">
      <c r="A2738" s="25">
        <v>2727</v>
      </c>
      <c r="B2738" s="23"/>
      <c r="C2738" s="63" t="s">
        <v>1264</v>
      </c>
      <c r="D2738" s="23"/>
      <c r="E2738" s="64">
        <f t="shared" si="212"/>
        <v>1000</v>
      </c>
      <c r="F2738" s="64" t="s">
        <v>37</v>
      </c>
      <c r="G2738" s="168">
        <v>120</v>
      </c>
      <c r="H2738" s="165">
        <f t="shared" si="213"/>
        <v>120000</v>
      </c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56"/>
    </row>
    <row r="2739" spans="1:22" ht="15" x14ac:dyDescent="0.25">
      <c r="A2739" s="25">
        <v>2728</v>
      </c>
      <c r="B2739" s="23"/>
      <c r="C2739" s="63" t="s">
        <v>1404</v>
      </c>
      <c r="D2739" s="23"/>
      <c r="E2739" s="84"/>
      <c r="F2739" s="23"/>
      <c r="G2739" s="165"/>
      <c r="H2739" s="165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56"/>
    </row>
    <row r="2740" spans="1:22" x14ac:dyDescent="0.25">
      <c r="A2740" s="25">
        <v>2729</v>
      </c>
      <c r="B2740" s="23"/>
      <c r="C2740" s="63" t="s">
        <v>1265</v>
      </c>
      <c r="D2740" s="23"/>
      <c r="E2740" s="64">
        <f>25*12</f>
        <v>300</v>
      </c>
      <c r="F2740" s="64" t="s">
        <v>37</v>
      </c>
      <c r="G2740" s="168">
        <v>120</v>
      </c>
      <c r="H2740" s="165">
        <f>G2740*E2740</f>
        <v>36000</v>
      </c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56"/>
    </row>
    <row r="2741" spans="1:22" x14ac:dyDescent="0.25">
      <c r="A2741" s="25">
        <v>2730</v>
      </c>
      <c r="B2741" s="23"/>
      <c r="C2741" s="63" t="s">
        <v>1266</v>
      </c>
      <c r="D2741" s="23"/>
      <c r="E2741" s="64">
        <f t="shared" ref="E2741:E2742" si="214">25*12</f>
        <v>300</v>
      </c>
      <c r="F2741" s="64" t="s">
        <v>37</v>
      </c>
      <c r="G2741" s="168">
        <v>180</v>
      </c>
      <c r="H2741" s="165">
        <f t="shared" ref="H2741:H2742" si="215">G2741*E2741</f>
        <v>54000</v>
      </c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56"/>
    </row>
    <row r="2742" spans="1:22" x14ac:dyDescent="0.25">
      <c r="A2742" s="25">
        <v>2731</v>
      </c>
      <c r="B2742" s="23"/>
      <c r="C2742" s="63" t="s">
        <v>1267</v>
      </c>
      <c r="D2742" s="23"/>
      <c r="E2742" s="64">
        <f t="shared" si="214"/>
        <v>300</v>
      </c>
      <c r="F2742" s="64" t="s">
        <v>37</v>
      </c>
      <c r="G2742" s="168">
        <v>120</v>
      </c>
      <c r="H2742" s="165">
        <f t="shared" si="215"/>
        <v>36000</v>
      </c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56"/>
    </row>
    <row r="2743" spans="1:22" ht="15" x14ac:dyDescent="0.25">
      <c r="A2743" s="25">
        <v>2732</v>
      </c>
      <c r="B2743" s="23"/>
      <c r="C2743" s="63" t="s">
        <v>1405</v>
      </c>
      <c r="D2743" s="23"/>
      <c r="E2743" s="84"/>
      <c r="F2743" s="23"/>
      <c r="G2743" s="165"/>
      <c r="H2743" s="165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56"/>
    </row>
    <row r="2744" spans="1:22" x14ac:dyDescent="0.25">
      <c r="A2744" s="25">
        <v>2733</v>
      </c>
      <c r="B2744" s="23"/>
      <c r="C2744" s="63" t="s">
        <v>1265</v>
      </c>
      <c r="D2744" s="23"/>
      <c r="E2744" s="64">
        <f>25*12</f>
        <v>300</v>
      </c>
      <c r="F2744" s="64" t="s">
        <v>37</v>
      </c>
      <c r="G2744" s="168">
        <v>120</v>
      </c>
      <c r="H2744" s="165">
        <f>G2744*E2744</f>
        <v>36000</v>
      </c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56"/>
    </row>
    <row r="2745" spans="1:22" x14ac:dyDescent="0.25">
      <c r="A2745" s="25">
        <v>2734</v>
      </c>
      <c r="B2745" s="23"/>
      <c r="C2745" s="63" t="s">
        <v>1266</v>
      </c>
      <c r="D2745" s="23"/>
      <c r="E2745" s="64">
        <f t="shared" ref="E2745:E2746" si="216">25*12</f>
        <v>300</v>
      </c>
      <c r="F2745" s="64" t="s">
        <v>37</v>
      </c>
      <c r="G2745" s="168">
        <v>180</v>
      </c>
      <c r="H2745" s="165">
        <f t="shared" ref="H2745:H2746" si="217">G2745*E2745</f>
        <v>54000</v>
      </c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56"/>
    </row>
    <row r="2746" spans="1:22" x14ac:dyDescent="0.25">
      <c r="A2746" s="25">
        <v>2735</v>
      </c>
      <c r="B2746" s="23"/>
      <c r="C2746" s="63" t="s">
        <v>1267</v>
      </c>
      <c r="D2746" s="23"/>
      <c r="E2746" s="64">
        <f t="shared" si="216"/>
        <v>300</v>
      </c>
      <c r="F2746" s="64" t="s">
        <v>37</v>
      </c>
      <c r="G2746" s="168">
        <v>120</v>
      </c>
      <c r="H2746" s="165">
        <f t="shared" si="217"/>
        <v>36000</v>
      </c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56"/>
    </row>
    <row r="2747" spans="1:22" ht="15" x14ac:dyDescent="0.25">
      <c r="A2747" s="25">
        <v>2736</v>
      </c>
      <c r="B2747" s="23"/>
      <c r="C2747" s="63" t="s">
        <v>1406</v>
      </c>
      <c r="D2747" s="23"/>
      <c r="E2747" s="84"/>
      <c r="F2747" s="23"/>
      <c r="G2747" s="165"/>
      <c r="H2747" s="165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56"/>
    </row>
    <row r="2748" spans="1:22" x14ac:dyDescent="0.25">
      <c r="A2748" s="25">
        <v>2737</v>
      </c>
      <c r="B2748" s="23"/>
      <c r="C2748" s="63" t="s">
        <v>1265</v>
      </c>
      <c r="D2748" s="23"/>
      <c r="E2748" s="64">
        <f>25*12</f>
        <v>300</v>
      </c>
      <c r="F2748" s="64" t="s">
        <v>37</v>
      </c>
      <c r="G2748" s="168">
        <v>120</v>
      </c>
      <c r="H2748" s="165">
        <f>G2748*E2748</f>
        <v>36000</v>
      </c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56"/>
    </row>
    <row r="2749" spans="1:22" x14ac:dyDescent="0.25">
      <c r="A2749" s="25">
        <v>2738</v>
      </c>
      <c r="B2749" s="23"/>
      <c r="C2749" s="63" t="s">
        <v>1266</v>
      </c>
      <c r="D2749" s="23"/>
      <c r="E2749" s="64">
        <f t="shared" ref="E2749:E2750" si="218">25*12</f>
        <v>300</v>
      </c>
      <c r="F2749" s="64" t="s">
        <v>37</v>
      </c>
      <c r="G2749" s="168">
        <v>180</v>
      </c>
      <c r="H2749" s="165">
        <f t="shared" ref="H2749:H2750" si="219">G2749*E2749</f>
        <v>54000</v>
      </c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56"/>
    </row>
    <row r="2750" spans="1:22" x14ac:dyDescent="0.25">
      <c r="A2750" s="25">
        <v>2739</v>
      </c>
      <c r="B2750" s="23"/>
      <c r="C2750" s="63" t="s">
        <v>1267</v>
      </c>
      <c r="D2750" s="23"/>
      <c r="E2750" s="64">
        <f t="shared" si="218"/>
        <v>300</v>
      </c>
      <c r="F2750" s="64" t="s">
        <v>37</v>
      </c>
      <c r="G2750" s="168">
        <v>120</v>
      </c>
      <c r="H2750" s="165">
        <f t="shared" si="219"/>
        <v>36000</v>
      </c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56"/>
    </row>
    <row r="2751" spans="1:22" x14ac:dyDescent="0.25">
      <c r="A2751" s="25">
        <v>2740</v>
      </c>
      <c r="B2751" s="23"/>
      <c r="C2751" s="14"/>
      <c r="D2751" s="23"/>
      <c r="E2751" s="84"/>
      <c r="F2751" s="23"/>
      <c r="G2751" s="165"/>
      <c r="H2751" s="165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56"/>
    </row>
    <row r="2752" spans="1:22" ht="30" x14ac:dyDescent="0.25">
      <c r="A2752" s="25">
        <v>2741</v>
      </c>
      <c r="B2752" s="89" t="s">
        <v>222</v>
      </c>
      <c r="C2752" s="90" t="s">
        <v>234</v>
      </c>
      <c r="D2752" s="89" t="s">
        <v>27</v>
      </c>
      <c r="E2752" s="89"/>
      <c r="F2752" s="89"/>
      <c r="G2752" s="163"/>
      <c r="H2752" s="167">
        <v>200000</v>
      </c>
      <c r="I2752" s="89" t="s">
        <v>52</v>
      </c>
      <c r="J2752" s="60"/>
      <c r="K2752" s="60"/>
      <c r="L2752" s="60"/>
      <c r="M2752" s="60">
        <v>1</v>
      </c>
      <c r="N2752" s="60"/>
      <c r="O2752" s="60"/>
      <c r="P2752" s="60">
        <v>1</v>
      </c>
      <c r="Q2752" s="60"/>
      <c r="R2752" s="60"/>
      <c r="S2752" s="60">
        <v>1</v>
      </c>
      <c r="T2752" s="60"/>
      <c r="U2752" s="60"/>
      <c r="V2752" s="56"/>
    </row>
    <row r="2753" spans="1:22" x14ac:dyDescent="0.25">
      <c r="A2753" s="25">
        <v>2742</v>
      </c>
      <c r="B2753" s="23"/>
      <c r="C2753" s="14" t="s">
        <v>54</v>
      </c>
      <c r="D2753" s="23"/>
      <c r="E2753" s="84"/>
      <c r="F2753" s="23"/>
      <c r="G2753" s="165"/>
      <c r="H2753" s="165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56"/>
    </row>
    <row r="2754" spans="1:22" x14ac:dyDescent="0.25">
      <c r="A2754" s="25">
        <v>2743</v>
      </c>
      <c r="B2754" s="23"/>
      <c r="C2754" s="6" t="s">
        <v>1268</v>
      </c>
      <c r="D2754" s="23"/>
      <c r="E2754" s="7">
        <f>39*12</f>
        <v>468</v>
      </c>
      <c r="F2754" s="138" t="s">
        <v>37</v>
      </c>
      <c r="G2754" s="45">
        <v>120</v>
      </c>
      <c r="H2754" s="165">
        <f>G2754*E2754</f>
        <v>56160</v>
      </c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56"/>
    </row>
    <row r="2755" spans="1:22" x14ac:dyDescent="0.25">
      <c r="A2755" s="25">
        <v>2744</v>
      </c>
      <c r="B2755" s="23"/>
      <c r="C2755" s="6" t="s">
        <v>1269</v>
      </c>
      <c r="D2755" s="23"/>
      <c r="E2755" s="7">
        <f>40*12</f>
        <v>480</v>
      </c>
      <c r="F2755" s="139" t="s">
        <v>37</v>
      </c>
      <c r="G2755" s="140">
        <v>180</v>
      </c>
      <c r="H2755" s="165">
        <f t="shared" ref="H2755:H2756" si="220">G2755*E2755</f>
        <v>86400</v>
      </c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56"/>
    </row>
    <row r="2756" spans="1:22" x14ac:dyDescent="0.25">
      <c r="A2756" s="25">
        <v>2745</v>
      </c>
      <c r="B2756" s="23"/>
      <c r="C2756" s="6" t="s">
        <v>1270</v>
      </c>
      <c r="D2756" s="23"/>
      <c r="E2756" s="7">
        <f>39*12</f>
        <v>468</v>
      </c>
      <c r="F2756" s="138" t="s">
        <v>37</v>
      </c>
      <c r="G2756" s="45">
        <v>120</v>
      </c>
      <c r="H2756" s="165">
        <f t="shared" si="220"/>
        <v>56160</v>
      </c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56"/>
    </row>
    <row r="2757" spans="1:22" x14ac:dyDescent="0.25">
      <c r="A2757" s="25">
        <v>2746</v>
      </c>
      <c r="B2757" s="23"/>
      <c r="C2757" s="6" t="s">
        <v>1036</v>
      </c>
      <c r="D2757" s="23"/>
      <c r="E2757" s="7">
        <v>32</v>
      </c>
      <c r="F2757" s="138" t="s">
        <v>37</v>
      </c>
      <c r="G2757" s="45">
        <v>40</v>
      </c>
      <c r="H2757" s="165">
        <f>G2757*E2757</f>
        <v>1280</v>
      </c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56"/>
    </row>
    <row r="2758" spans="1:22" x14ac:dyDescent="0.25">
      <c r="A2758" s="25">
        <v>2747</v>
      </c>
      <c r="B2758" s="23"/>
      <c r="C2758" s="14"/>
      <c r="D2758" s="23"/>
      <c r="E2758" s="84"/>
      <c r="F2758" s="23"/>
      <c r="G2758" s="165"/>
      <c r="H2758" s="165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56"/>
    </row>
    <row r="2759" spans="1:22" ht="30" x14ac:dyDescent="0.25">
      <c r="A2759" s="25">
        <v>2748</v>
      </c>
      <c r="B2759" s="89" t="s">
        <v>222</v>
      </c>
      <c r="C2759" s="90" t="s">
        <v>94</v>
      </c>
      <c r="D2759" s="89" t="s">
        <v>27</v>
      </c>
      <c r="E2759" s="89"/>
      <c r="F2759" s="89"/>
      <c r="G2759" s="163"/>
      <c r="H2759" s="167">
        <v>1332000</v>
      </c>
      <c r="I2759" s="89" t="s">
        <v>52</v>
      </c>
      <c r="J2759" s="60">
        <v>1</v>
      </c>
      <c r="K2759" s="60">
        <v>1</v>
      </c>
      <c r="L2759" s="60">
        <v>1</v>
      </c>
      <c r="M2759" s="60">
        <v>1</v>
      </c>
      <c r="N2759" s="60">
        <v>1</v>
      </c>
      <c r="O2759" s="60">
        <v>1</v>
      </c>
      <c r="P2759" s="60">
        <v>1</v>
      </c>
      <c r="Q2759" s="60">
        <v>1</v>
      </c>
      <c r="R2759" s="60">
        <v>1</v>
      </c>
      <c r="S2759" s="60">
        <v>1</v>
      </c>
      <c r="T2759" s="60">
        <v>1</v>
      </c>
      <c r="U2759" s="60">
        <v>1</v>
      </c>
      <c r="V2759" s="56"/>
    </row>
    <row r="2760" spans="1:22" x14ac:dyDescent="0.25">
      <c r="A2760" s="25">
        <v>2749</v>
      </c>
      <c r="B2760" s="23"/>
      <c r="C2760" s="14" t="s">
        <v>1440</v>
      </c>
      <c r="D2760" s="23"/>
      <c r="E2760" s="84"/>
      <c r="F2760" s="23"/>
      <c r="G2760" s="165"/>
      <c r="H2760" s="165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56"/>
    </row>
    <row r="2761" spans="1:22" ht="28.5" x14ac:dyDescent="0.25">
      <c r="A2761" s="25">
        <v>2750</v>
      </c>
      <c r="B2761" s="23"/>
      <c r="C2761" s="19" t="s">
        <v>975</v>
      </c>
      <c r="D2761" s="23"/>
      <c r="E2761" s="84"/>
      <c r="F2761" s="23"/>
      <c r="G2761" s="165"/>
      <c r="H2761" s="165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56"/>
    </row>
    <row r="2762" spans="1:22" ht="28.5" x14ac:dyDescent="0.25">
      <c r="A2762" s="25">
        <v>2751</v>
      </c>
      <c r="B2762" s="23"/>
      <c r="C2762" s="78" t="s">
        <v>971</v>
      </c>
      <c r="D2762" s="23"/>
      <c r="E2762" s="29">
        <f>52*30</f>
        <v>1560</v>
      </c>
      <c r="F2762" s="29" t="s">
        <v>37</v>
      </c>
      <c r="G2762" s="197">
        <v>150</v>
      </c>
      <c r="H2762" s="165">
        <f>G2762*E2762</f>
        <v>234000</v>
      </c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56"/>
    </row>
    <row r="2763" spans="1:22" ht="28.5" x14ac:dyDescent="0.25">
      <c r="A2763" s="25">
        <v>2752</v>
      </c>
      <c r="B2763" s="23"/>
      <c r="C2763" s="78" t="s">
        <v>972</v>
      </c>
      <c r="D2763" s="23"/>
      <c r="E2763" s="29">
        <f t="shared" ref="E2763:E2765" si="221">52*30</f>
        <v>1560</v>
      </c>
      <c r="F2763" s="29" t="s">
        <v>37</v>
      </c>
      <c r="G2763" s="197">
        <v>250</v>
      </c>
      <c r="H2763" s="165">
        <f t="shared" ref="H2763:H2765" si="222">G2763*E2763</f>
        <v>390000</v>
      </c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56"/>
    </row>
    <row r="2764" spans="1:22" ht="28.5" x14ac:dyDescent="0.25">
      <c r="A2764" s="25">
        <v>2753</v>
      </c>
      <c r="B2764" s="23"/>
      <c r="C2764" s="78" t="s">
        <v>973</v>
      </c>
      <c r="D2764" s="23"/>
      <c r="E2764" s="29">
        <f t="shared" si="221"/>
        <v>1560</v>
      </c>
      <c r="F2764" s="29" t="s">
        <v>37</v>
      </c>
      <c r="G2764" s="197">
        <v>150</v>
      </c>
      <c r="H2764" s="165">
        <f t="shared" si="222"/>
        <v>234000</v>
      </c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56"/>
    </row>
    <row r="2765" spans="1:22" ht="28.5" x14ac:dyDescent="0.25">
      <c r="A2765" s="25">
        <v>2754</v>
      </c>
      <c r="B2765" s="23"/>
      <c r="C2765" s="78" t="s">
        <v>974</v>
      </c>
      <c r="D2765" s="23"/>
      <c r="E2765" s="29">
        <f t="shared" si="221"/>
        <v>1560</v>
      </c>
      <c r="F2765" s="29" t="s">
        <v>37</v>
      </c>
      <c r="G2765" s="197">
        <v>150</v>
      </c>
      <c r="H2765" s="165">
        <f t="shared" si="222"/>
        <v>234000</v>
      </c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56"/>
    </row>
    <row r="2766" spans="1:22" ht="42.75" x14ac:dyDescent="0.25">
      <c r="A2766" s="25">
        <v>2755</v>
      </c>
      <c r="B2766" s="23"/>
      <c r="C2766" s="41" t="s">
        <v>976</v>
      </c>
      <c r="D2766" s="23"/>
      <c r="E2766" s="84"/>
      <c r="F2766" s="23"/>
      <c r="G2766" s="165"/>
      <c r="H2766" s="165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56"/>
    </row>
    <row r="2767" spans="1:22" ht="28.5" x14ac:dyDescent="0.25">
      <c r="A2767" s="25">
        <v>2756</v>
      </c>
      <c r="B2767" s="23"/>
      <c r="C2767" s="78" t="s">
        <v>977</v>
      </c>
      <c r="D2767" s="23"/>
      <c r="E2767" s="29">
        <f>30*20</f>
        <v>600</v>
      </c>
      <c r="F2767" s="29" t="s">
        <v>37</v>
      </c>
      <c r="G2767" s="48">
        <v>150</v>
      </c>
      <c r="H2767" s="165">
        <f>G2767*E2767</f>
        <v>90000</v>
      </c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  <c r="U2767" s="8"/>
      <c r="V2767" s="56"/>
    </row>
    <row r="2768" spans="1:22" x14ac:dyDescent="0.25">
      <c r="A2768" s="25">
        <v>2757</v>
      </c>
      <c r="B2768" s="23"/>
      <c r="C2768" s="78" t="s">
        <v>978</v>
      </c>
      <c r="D2768" s="23"/>
      <c r="E2768" s="29">
        <f>30*20</f>
        <v>600</v>
      </c>
      <c r="F2768" s="29" t="s">
        <v>37</v>
      </c>
      <c r="G2768" s="48">
        <v>250</v>
      </c>
      <c r="H2768" s="165">
        <f>G2768*E2768</f>
        <v>150000</v>
      </c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  <c r="U2768" s="8"/>
      <c r="V2768" s="56"/>
    </row>
    <row r="2769" spans="1:22" x14ac:dyDescent="0.25">
      <c r="A2769" s="25">
        <v>2758</v>
      </c>
      <c r="B2769" s="23"/>
      <c r="C2769" s="14"/>
      <c r="D2769" s="23"/>
      <c r="E2769" s="84"/>
      <c r="F2769" s="23"/>
      <c r="G2769" s="165"/>
      <c r="H2769" s="165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56"/>
    </row>
    <row r="2770" spans="1:22" ht="30" x14ac:dyDescent="0.25">
      <c r="A2770" s="25">
        <v>2759</v>
      </c>
      <c r="B2770" s="89" t="s">
        <v>222</v>
      </c>
      <c r="C2770" s="90" t="s">
        <v>33</v>
      </c>
      <c r="D2770" s="89" t="s">
        <v>27</v>
      </c>
      <c r="E2770" s="89"/>
      <c r="F2770" s="89"/>
      <c r="G2770" s="163"/>
      <c r="H2770" s="167">
        <v>1828179.99</v>
      </c>
      <c r="I2770" s="89" t="s">
        <v>52</v>
      </c>
      <c r="J2770" s="60">
        <v>1</v>
      </c>
      <c r="K2770" s="60"/>
      <c r="L2770" s="60"/>
      <c r="M2770" s="60">
        <v>1</v>
      </c>
      <c r="N2770" s="60"/>
      <c r="O2770" s="60"/>
      <c r="P2770" s="60"/>
      <c r="Q2770" s="60"/>
      <c r="R2770" s="60"/>
      <c r="S2770" s="60">
        <v>1</v>
      </c>
      <c r="T2770" s="60"/>
      <c r="U2770" s="60"/>
      <c r="V2770" s="56"/>
    </row>
    <row r="2771" spans="1:22" x14ac:dyDescent="0.25">
      <c r="A2771" s="25">
        <v>2760</v>
      </c>
      <c r="B2771" s="23"/>
      <c r="C2771" s="14" t="s">
        <v>465</v>
      </c>
      <c r="D2771" s="23"/>
      <c r="E2771" s="84"/>
      <c r="F2771" s="23"/>
      <c r="G2771" s="165"/>
      <c r="H2771" s="165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56"/>
    </row>
    <row r="2772" spans="1:22" x14ac:dyDescent="0.25">
      <c r="A2772" s="25">
        <v>2761</v>
      </c>
      <c r="B2772" s="23"/>
      <c r="C2772" s="149" t="s">
        <v>1273</v>
      </c>
      <c r="D2772" s="23"/>
      <c r="E2772" s="20">
        <f>4*16*2</f>
        <v>128</v>
      </c>
      <c r="F2772" s="20" t="s">
        <v>37</v>
      </c>
      <c r="G2772" s="198">
        <v>120</v>
      </c>
      <c r="H2772" s="165">
        <f>G2772*E2772</f>
        <v>15360</v>
      </c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56"/>
    </row>
    <row r="2773" spans="1:22" x14ac:dyDescent="0.25">
      <c r="A2773" s="25">
        <v>2762</v>
      </c>
      <c r="B2773" s="23"/>
      <c r="C2773" s="149" t="s">
        <v>1274</v>
      </c>
      <c r="D2773" s="23"/>
      <c r="E2773" s="20">
        <f>4*16*2</f>
        <v>128</v>
      </c>
      <c r="F2773" s="20" t="s">
        <v>37</v>
      </c>
      <c r="G2773" s="198">
        <v>120</v>
      </c>
      <c r="H2773" s="165">
        <f>G2773*E2773</f>
        <v>15360</v>
      </c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56"/>
    </row>
    <row r="2774" spans="1:22" x14ac:dyDescent="0.25">
      <c r="A2774" s="25">
        <v>2763</v>
      </c>
      <c r="B2774" s="23"/>
      <c r="C2774" s="149" t="s">
        <v>1275</v>
      </c>
      <c r="D2774" s="23"/>
      <c r="E2774" s="20">
        <f>5*16*2</f>
        <v>160</v>
      </c>
      <c r="F2774" s="20" t="s">
        <v>37</v>
      </c>
      <c r="G2774" s="198">
        <v>120</v>
      </c>
      <c r="H2774" s="165">
        <f>G2774*E2774</f>
        <v>19200</v>
      </c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  <c r="U2774" s="8"/>
      <c r="V2774" s="56"/>
    </row>
    <row r="2775" spans="1:22" x14ac:dyDescent="0.25">
      <c r="A2775" s="25">
        <v>2764</v>
      </c>
      <c r="B2775" s="23"/>
      <c r="C2775" s="149" t="s">
        <v>1276</v>
      </c>
      <c r="D2775" s="23"/>
      <c r="E2775" s="20">
        <f t="shared" ref="E2775:E2776" si="223">5*16*2</f>
        <v>160</v>
      </c>
      <c r="F2775" s="20" t="s">
        <v>37</v>
      </c>
      <c r="G2775" s="198">
        <v>180</v>
      </c>
      <c r="H2775" s="165">
        <f t="shared" ref="H2775:H2776" si="224">G2775*E2775</f>
        <v>28800</v>
      </c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56"/>
    </row>
    <row r="2776" spans="1:22" x14ac:dyDescent="0.25">
      <c r="A2776" s="25">
        <v>2765</v>
      </c>
      <c r="B2776" s="23"/>
      <c r="C2776" s="149" t="s">
        <v>1277</v>
      </c>
      <c r="D2776" s="23"/>
      <c r="E2776" s="20">
        <f t="shared" si="223"/>
        <v>160</v>
      </c>
      <c r="F2776" s="20" t="s">
        <v>37</v>
      </c>
      <c r="G2776" s="198">
        <v>120</v>
      </c>
      <c r="H2776" s="165">
        <f t="shared" si="224"/>
        <v>19200</v>
      </c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56"/>
    </row>
    <row r="2777" spans="1:22" x14ac:dyDescent="0.25">
      <c r="A2777" s="25">
        <v>2766</v>
      </c>
      <c r="B2777" s="23"/>
      <c r="C2777" s="19" t="s">
        <v>1278</v>
      </c>
      <c r="D2777" s="23"/>
      <c r="E2777" s="20">
        <f>430*2</f>
        <v>860</v>
      </c>
      <c r="F2777" s="20" t="s">
        <v>37</v>
      </c>
      <c r="G2777" s="198">
        <v>180</v>
      </c>
      <c r="H2777" s="165">
        <f>G2777*E2777</f>
        <v>154800</v>
      </c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  <c r="U2777" s="8"/>
      <c r="V2777" s="56"/>
    </row>
    <row r="2778" spans="1:22" x14ac:dyDescent="0.25">
      <c r="A2778" s="25">
        <v>2767</v>
      </c>
      <c r="B2778" s="23"/>
      <c r="C2778" s="19" t="s">
        <v>1279</v>
      </c>
      <c r="D2778" s="23"/>
      <c r="E2778" s="20">
        <f>460*2</f>
        <v>920</v>
      </c>
      <c r="F2778" s="20" t="s">
        <v>37</v>
      </c>
      <c r="G2778" s="198">
        <v>250</v>
      </c>
      <c r="H2778" s="165">
        <f t="shared" ref="H2778:H2779" si="225">G2778*E2778</f>
        <v>230000</v>
      </c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  <c r="U2778" s="8"/>
      <c r="V2778" s="56"/>
    </row>
    <row r="2779" spans="1:22" x14ac:dyDescent="0.25">
      <c r="A2779" s="25">
        <v>2768</v>
      </c>
      <c r="B2779" s="23"/>
      <c r="C2779" s="19" t="s">
        <v>1280</v>
      </c>
      <c r="D2779" s="23"/>
      <c r="E2779" s="20">
        <f>460*2</f>
        <v>920</v>
      </c>
      <c r="F2779" s="20" t="s">
        <v>37</v>
      </c>
      <c r="G2779" s="198">
        <v>250</v>
      </c>
      <c r="H2779" s="165">
        <f t="shared" si="225"/>
        <v>230000</v>
      </c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56"/>
    </row>
    <row r="2780" spans="1:22" x14ac:dyDescent="0.25">
      <c r="A2780" s="25">
        <v>2769</v>
      </c>
      <c r="B2780" s="23"/>
      <c r="C2780" s="19" t="s">
        <v>1281</v>
      </c>
      <c r="D2780" s="23"/>
      <c r="E2780" s="20">
        <f>630*2</f>
        <v>1260</v>
      </c>
      <c r="F2780" s="20" t="s">
        <v>37</v>
      </c>
      <c r="G2780" s="198">
        <v>570</v>
      </c>
      <c r="H2780" s="165">
        <f>G2780*E2780</f>
        <v>718200</v>
      </c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56"/>
    </row>
    <row r="2781" spans="1:22" x14ac:dyDescent="0.25">
      <c r="A2781" s="25">
        <v>2770</v>
      </c>
      <c r="B2781" s="23"/>
      <c r="C2781" s="14" t="s">
        <v>1298</v>
      </c>
      <c r="D2781" s="23"/>
      <c r="E2781" s="20"/>
      <c r="F2781" s="20"/>
      <c r="G2781" s="198"/>
      <c r="H2781" s="165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56"/>
    </row>
    <row r="2782" spans="1:22" x14ac:dyDescent="0.25">
      <c r="A2782" s="25">
        <v>2771</v>
      </c>
      <c r="B2782" s="23"/>
      <c r="C2782" s="149" t="s">
        <v>1273</v>
      </c>
      <c r="D2782" s="23"/>
      <c r="E2782" s="20">
        <f>4*16</f>
        <v>64</v>
      </c>
      <c r="F2782" s="20" t="s">
        <v>37</v>
      </c>
      <c r="G2782" s="198">
        <v>120</v>
      </c>
      <c r="H2782" s="165">
        <f>G2782*E2782</f>
        <v>7680</v>
      </c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56"/>
    </row>
    <row r="2783" spans="1:22" x14ac:dyDescent="0.25">
      <c r="A2783" s="25">
        <v>2772</v>
      </c>
      <c r="B2783" s="23"/>
      <c r="C2783" s="149" t="s">
        <v>1274</v>
      </c>
      <c r="D2783" s="23"/>
      <c r="E2783" s="20">
        <f>4*16</f>
        <v>64</v>
      </c>
      <c r="F2783" s="20" t="s">
        <v>37</v>
      </c>
      <c r="G2783" s="198">
        <v>120</v>
      </c>
      <c r="H2783" s="165">
        <f t="shared" ref="H2783:H2786" si="226">G2783*E2783</f>
        <v>7680</v>
      </c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56"/>
    </row>
    <row r="2784" spans="1:22" x14ac:dyDescent="0.25">
      <c r="A2784" s="25">
        <v>2773</v>
      </c>
      <c r="B2784" s="23"/>
      <c r="C2784" s="149" t="s">
        <v>1275</v>
      </c>
      <c r="D2784" s="23"/>
      <c r="E2784" s="20">
        <f>5*16</f>
        <v>80</v>
      </c>
      <c r="F2784" s="20" t="s">
        <v>37</v>
      </c>
      <c r="G2784" s="198">
        <v>120</v>
      </c>
      <c r="H2784" s="165">
        <f t="shared" si="226"/>
        <v>9600</v>
      </c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56"/>
    </row>
    <row r="2785" spans="1:22" x14ac:dyDescent="0.25">
      <c r="A2785" s="25">
        <v>2774</v>
      </c>
      <c r="B2785" s="23"/>
      <c r="C2785" s="149" t="s">
        <v>1276</v>
      </c>
      <c r="D2785" s="23"/>
      <c r="E2785" s="20">
        <f t="shared" ref="E2785:E2786" si="227">5*16</f>
        <v>80</v>
      </c>
      <c r="F2785" s="20" t="s">
        <v>37</v>
      </c>
      <c r="G2785" s="198">
        <v>180</v>
      </c>
      <c r="H2785" s="165">
        <f t="shared" si="226"/>
        <v>14400</v>
      </c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56"/>
    </row>
    <row r="2786" spans="1:22" x14ac:dyDescent="0.25">
      <c r="A2786" s="25">
        <v>2775</v>
      </c>
      <c r="B2786" s="23"/>
      <c r="C2786" s="149" t="s">
        <v>1277</v>
      </c>
      <c r="D2786" s="23"/>
      <c r="E2786" s="20">
        <f t="shared" si="227"/>
        <v>80</v>
      </c>
      <c r="F2786" s="20" t="s">
        <v>37</v>
      </c>
      <c r="G2786" s="198">
        <v>120</v>
      </c>
      <c r="H2786" s="165">
        <f t="shared" si="226"/>
        <v>9600</v>
      </c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56"/>
    </row>
    <row r="2787" spans="1:22" x14ac:dyDescent="0.25">
      <c r="A2787" s="25">
        <v>2776</v>
      </c>
      <c r="B2787" s="23"/>
      <c r="C2787" s="19" t="s">
        <v>1278</v>
      </c>
      <c r="D2787" s="23"/>
      <c r="E2787" s="20">
        <v>180</v>
      </c>
      <c r="F2787" s="20" t="s">
        <v>37</v>
      </c>
      <c r="G2787" s="198">
        <v>180</v>
      </c>
      <c r="H2787" s="165">
        <f>G2787*E2787</f>
        <v>32400</v>
      </c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56"/>
    </row>
    <row r="2788" spans="1:22" x14ac:dyDescent="0.25">
      <c r="A2788" s="25">
        <v>2777</v>
      </c>
      <c r="B2788" s="23"/>
      <c r="C2788" s="19" t="s">
        <v>1279</v>
      </c>
      <c r="D2788" s="23"/>
      <c r="E2788" s="20">
        <v>210</v>
      </c>
      <c r="F2788" s="20" t="s">
        <v>37</v>
      </c>
      <c r="G2788" s="198">
        <v>250</v>
      </c>
      <c r="H2788" s="165">
        <f>G2788*E2788</f>
        <v>52500</v>
      </c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56"/>
    </row>
    <row r="2789" spans="1:22" x14ac:dyDescent="0.25">
      <c r="A2789" s="25">
        <v>2778</v>
      </c>
      <c r="B2789" s="23"/>
      <c r="C2789" s="19" t="s">
        <v>1280</v>
      </c>
      <c r="D2789" s="23"/>
      <c r="E2789" s="20">
        <v>210</v>
      </c>
      <c r="F2789" s="20" t="s">
        <v>37</v>
      </c>
      <c r="G2789" s="198">
        <v>250</v>
      </c>
      <c r="H2789" s="165">
        <f>G2789*E2789</f>
        <v>52500</v>
      </c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  <c r="U2789" s="8"/>
      <c r="V2789" s="56"/>
    </row>
    <row r="2790" spans="1:22" x14ac:dyDescent="0.25">
      <c r="A2790" s="25">
        <v>2779</v>
      </c>
      <c r="B2790" s="23"/>
      <c r="C2790" s="19" t="s">
        <v>1281</v>
      </c>
      <c r="D2790" s="23"/>
      <c r="E2790" s="20">
        <v>370</v>
      </c>
      <c r="F2790" s="20" t="s">
        <v>37</v>
      </c>
      <c r="G2790" s="198">
        <v>570</v>
      </c>
      <c r="H2790" s="165">
        <f>G2790*E2790</f>
        <v>210900</v>
      </c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56"/>
    </row>
    <row r="2791" spans="1:22" x14ac:dyDescent="0.25">
      <c r="A2791" s="25">
        <v>2780</v>
      </c>
      <c r="B2791" s="23"/>
      <c r="C2791" s="14"/>
      <c r="D2791" s="23"/>
      <c r="E2791" s="84"/>
      <c r="F2791" s="23"/>
      <c r="G2791" s="165"/>
      <c r="H2791" s="165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56"/>
    </row>
    <row r="2792" spans="1:22" ht="30" x14ac:dyDescent="0.25">
      <c r="A2792" s="25">
        <v>2781</v>
      </c>
      <c r="B2792" s="89" t="s">
        <v>222</v>
      </c>
      <c r="C2792" s="90" t="s">
        <v>165</v>
      </c>
      <c r="D2792" s="89" t="s">
        <v>27</v>
      </c>
      <c r="E2792" s="89"/>
      <c r="F2792" s="89"/>
      <c r="G2792" s="163"/>
      <c r="H2792" s="167">
        <v>489000</v>
      </c>
      <c r="I2792" s="89" t="s">
        <v>52</v>
      </c>
      <c r="J2792" s="60"/>
      <c r="K2792" s="60"/>
      <c r="L2792" s="60"/>
      <c r="M2792" s="60"/>
      <c r="N2792" s="60"/>
      <c r="O2792" s="60"/>
      <c r="P2792" s="60"/>
      <c r="Q2792" s="60"/>
      <c r="R2792" s="60"/>
      <c r="S2792" s="60"/>
      <c r="T2792" s="60"/>
      <c r="U2792" s="60"/>
      <c r="V2792" s="56"/>
    </row>
    <row r="2793" spans="1:22" x14ac:dyDescent="0.25">
      <c r="A2793" s="25">
        <v>2782</v>
      </c>
      <c r="B2793" s="23"/>
      <c r="C2793" s="14" t="s">
        <v>54</v>
      </c>
      <c r="D2793" s="23"/>
      <c r="E2793" s="84"/>
      <c r="F2793" s="23"/>
      <c r="G2793" s="165"/>
      <c r="H2793" s="165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  <c r="U2793" s="8"/>
      <c r="V2793" s="56"/>
    </row>
    <row r="2794" spans="1:22" x14ac:dyDescent="0.25">
      <c r="A2794" s="25">
        <v>2783</v>
      </c>
      <c r="B2794" s="23"/>
      <c r="C2794" s="111" t="s">
        <v>1271</v>
      </c>
      <c r="D2794" s="112"/>
      <c r="E2794" s="112">
        <f>100*4</f>
        <v>400</v>
      </c>
      <c r="F2794" s="112" t="s">
        <v>37</v>
      </c>
      <c r="G2794" s="113">
        <v>180</v>
      </c>
      <c r="H2794" s="165">
        <f>G2794*E2794</f>
        <v>72000</v>
      </c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  <c r="U2794" s="8"/>
      <c r="V2794" s="56"/>
    </row>
    <row r="2795" spans="1:22" x14ac:dyDescent="0.25">
      <c r="A2795" s="25">
        <v>2784</v>
      </c>
      <c r="B2795" s="23"/>
      <c r="C2795" s="111" t="s">
        <v>1235</v>
      </c>
      <c r="D2795" s="112"/>
      <c r="E2795" s="112">
        <f t="shared" ref="E2795:E2799" si="228">100*4</f>
        <v>400</v>
      </c>
      <c r="F2795" s="112" t="s">
        <v>37</v>
      </c>
      <c r="G2795" s="113">
        <v>150</v>
      </c>
      <c r="H2795" s="165">
        <f t="shared" ref="H2795:H2800" si="229">G2795*E2795</f>
        <v>60000</v>
      </c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56"/>
    </row>
    <row r="2796" spans="1:22" x14ac:dyDescent="0.25">
      <c r="A2796" s="25">
        <v>2785</v>
      </c>
      <c r="B2796" s="23"/>
      <c r="C2796" s="111" t="s">
        <v>1236</v>
      </c>
      <c r="D2796" s="112"/>
      <c r="E2796" s="112">
        <f t="shared" si="228"/>
        <v>400</v>
      </c>
      <c r="F2796" s="112" t="s">
        <v>37</v>
      </c>
      <c r="G2796" s="113">
        <v>250</v>
      </c>
      <c r="H2796" s="165">
        <f t="shared" si="229"/>
        <v>100000</v>
      </c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  <c r="U2796" s="8"/>
      <c r="V2796" s="56"/>
    </row>
    <row r="2797" spans="1:22" x14ac:dyDescent="0.25">
      <c r="A2797" s="25">
        <v>2786</v>
      </c>
      <c r="B2797" s="23"/>
      <c r="C2797" s="111" t="s">
        <v>1237</v>
      </c>
      <c r="D2797" s="112"/>
      <c r="E2797" s="112">
        <f t="shared" si="228"/>
        <v>400</v>
      </c>
      <c r="F2797" s="112" t="s">
        <v>37</v>
      </c>
      <c r="G2797" s="113">
        <v>150</v>
      </c>
      <c r="H2797" s="165">
        <f t="shared" si="229"/>
        <v>60000</v>
      </c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56"/>
    </row>
    <row r="2798" spans="1:22" x14ac:dyDescent="0.25">
      <c r="A2798" s="25">
        <v>2787</v>
      </c>
      <c r="B2798" s="23"/>
      <c r="C2798" s="111" t="s">
        <v>1242</v>
      </c>
      <c r="D2798" s="112"/>
      <c r="E2798" s="112">
        <f t="shared" si="228"/>
        <v>400</v>
      </c>
      <c r="F2798" s="112" t="s">
        <v>37</v>
      </c>
      <c r="G2798" s="113">
        <v>250</v>
      </c>
      <c r="H2798" s="165">
        <f t="shared" si="229"/>
        <v>100000</v>
      </c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56"/>
    </row>
    <row r="2799" spans="1:22" x14ac:dyDescent="0.25">
      <c r="A2799" s="25">
        <v>2788</v>
      </c>
      <c r="B2799" s="23"/>
      <c r="C2799" s="111" t="s">
        <v>1243</v>
      </c>
      <c r="D2799" s="112"/>
      <c r="E2799" s="112">
        <f t="shared" si="228"/>
        <v>400</v>
      </c>
      <c r="F2799" s="112" t="s">
        <v>37</v>
      </c>
      <c r="G2799" s="113">
        <v>220</v>
      </c>
      <c r="H2799" s="165">
        <f t="shared" si="229"/>
        <v>88000</v>
      </c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56"/>
    </row>
    <row r="2800" spans="1:22" x14ac:dyDescent="0.25">
      <c r="A2800" s="25">
        <v>2789</v>
      </c>
      <c r="B2800" s="23"/>
      <c r="C2800" s="111" t="s">
        <v>747</v>
      </c>
      <c r="D2800" s="112"/>
      <c r="E2800" s="112">
        <f>5*4</f>
        <v>20</v>
      </c>
      <c r="F2800" s="23" t="s">
        <v>567</v>
      </c>
      <c r="G2800" s="113">
        <v>450</v>
      </c>
      <c r="H2800" s="165">
        <f t="shared" si="229"/>
        <v>9000</v>
      </c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  <c r="U2800" s="8"/>
      <c r="V2800" s="56"/>
    </row>
    <row r="2801" spans="1:22" x14ac:dyDescent="0.25">
      <c r="A2801" s="25">
        <v>2790</v>
      </c>
      <c r="B2801" s="23"/>
      <c r="C2801" s="14"/>
      <c r="D2801" s="23"/>
      <c r="E2801" s="84"/>
      <c r="F2801" s="23"/>
      <c r="G2801" s="165"/>
      <c r="H2801" s="165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56"/>
    </row>
    <row r="2802" spans="1:22" ht="30" x14ac:dyDescent="0.25">
      <c r="A2802" s="25">
        <v>2791</v>
      </c>
      <c r="B2802" s="89" t="s">
        <v>222</v>
      </c>
      <c r="C2802" s="90" t="s">
        <v>102</v>
      </c>
      <c r="D2802" s="89" t="s">
        <v>27</v>
      </c>
      <c r="E2802" s="89"/>
      <c r="F2802" s="89"/>
      <c r="G2802" s="163"/>
      <c r="H2802" s="167">
        <v>1890000</v>
      </c>
      <c r="I2802" s="89" t="s">
        <v>52</v>
      </c>
      <c r="J2802" s="60">
        <v>1</v>
      </c>
      <c r="K2802" s="60">
        <v>2</v>
      </c>
      <c r="L2802" s="60">
        <v>1</v>
      </c>
      <c r="M2802" s="60">
        <v>2</v>
      </c>
      <c r="N2802" s="60">
        <v>2</v>
      </c>
      <c r="O2802" s="60">
        <v>1</v>
      </c>
      <c r="P2802" s="60">
        <v>2</v>
      </c>
      <c r="Q2802" s="60">
        <v>1</v>
      </c>
      <c r="R2802" s="60">
        <v>1</v>
      </c>
      <c r="S2802" s="60">
        <v>2</v>
      </c>
      <c r="T2802" s="60">
        <v>2</v>
      </c>
      <c r="U2802" s="60">
        <v>1</v>
      </c>
      <c r="V2802" s="56"/>
    </row>
    <row r="2803" spans="1:22" x14ac:dyDescent="0.25">
      <c r="A2803" s="25">
        <v>2792</v>
      </c>
      <c r="B2803" s="23"/>
      <c r="C2803" s="14" t="s">
        <v>1098</v>
      </c>
      <c r="D2803" s="23"/>
      <c r="E2803" s="84"/>
      <c r="F2803" s="23"/>
      <c r="G2803" s="165"/>
      <c r="H2803" s="165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  <c r="U2803" s="8"/>
      <c r="V2803" s="56"/>
    </row>
    <row r="2804" spans="1:22" x14ac:dyDescent="0.25">
      <c r="A2804" s="25">
        <v>2793</v>
      </c>
      <c r="B2804" s="23"/>
      <c r="C2804" s="1" t="s">
        <v>1095</v>
      </c>
      <c r="D2804" s="23"/>
      <c r="E2804" s="8">
        <f>50*5*18</f>
        <v>4500</v>
      </c>
      <c r="F2804" s="8" t="s">
        <v>37</v>
      </c>
      <c r="G2804" s="49">
        <v>120</v>
      </c>
      <c r="H2804" s="165">
        <f>G2804*E2804</f>
        <v>540000</v>
      </c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56"/>
    </row>
    <row r="2805" spans="1:22" x14ac:dyDescent="0.25">
      <c r="A2805" s="25">
        <v>2794</v>
      </c>
      <c r="B2805" s="23"/>
      <c r="C2805" s="1" t="s">
        <v>1096</v>
      </c>
      <c r="D2805" s="23"/>
      <c r="E2805" s="8">
        <f t="shared" ref="E2805:E2806" si="230">50*5*18</f>
        <v>4500</v>
      </c>
      <c r="F2805" s="8" t="s">
        <v>37</v>
      </c>
      <c r="G2805" s="49">
        <v>180</v>
      </c>
      <c r="H2805" s="165">
        <f t="shared" ref="H2805:H2806" si="231">G2805*E2805</f>
        <v>810000</v>
      </c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  <c r="U2805" s="8"/>
      <c r="V2805" s="56"/>
    </row>
    <row r="2806" spans="1:22" x14ac:dyDescent="0.25">
      <c r="A2806" s="25">
        <v>2795</v>
      </c>
      <c r="B2806" s="23"/>
      <c r="C2806" s="1" t="s">
        <v>1097</v>
      </c>
      <c r="D2806" s="23"/>
      <c r="E2806" s="8">
        <f t="shared" si="230"/>
        <v>4500</v>
      </c>
      <c r="F2806" s="8" t="s">
        <v>37</v>
      </c>
      <c r="G2806" s="49">
        <v>120</v>
      </c>
      <c r="H2806" s="165">
        <f t="shared" si="231"/>
        <v>540000</v>
      </c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56"/>
    </row>
    <row r="2807" spans="1:22" x14ac:dyDescent="0.25">
      <c r="A2807" s="25">
        <v>2796</v>
      </c>
      <c r="B2807" s="23"/>
      <c r="C2807" s="14"/>
      <c r="D2807" s="23"/>
      <c r="E2807" s="84"/>
      <c r="F2807" s="23"/>
      <c r="G2807" s="165"/>
      <c r="H2807" s="165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56"/>
    </row>
    <row r="2808" spans="1:22" ht="30" x14ac:dyDescent="0.25">
      <c r="A2808" s="25">
        <v>2797</v>
      </c>
      <c r="B2808" s="89" t="s">
        <v>222</v>
      </c>
      <c r="C2808" s="90" t="s">
        <v>47</v>
      </c>
      <c r="D2808" s="89" t="s">
        <v>27</v>
      </c>
      <c r="E2808" s="89"/>
      <c r="F2808" s="89"/>
      <c r="G2808" s="163"/>
      <c r="H2808" s="167">
        <v>336000</v>
      </c>
      <c r="I2808" s="89" t="s">
        <v>52</v>
      </c>
      <c r="J2808" s="60"/>
      <c r="K2808" s="60"/>
      <c r="L2808" s="60"/>
      <c r="M2808" s="60">
        <v>1</v>
      </c>
      <c r="N2808" s="60"/>
      <c r="O2808" s="60"/>
      <c r="P2808" s="60"/>
      <c r="Q2808" s="60"/>
      <c r="R2808" s="60"/>
      <c r="S2808" s="60"/>
      <c r="T2808" s="60"/>
      <c r="U2808" s="60"/>
      <c r="V2808" s="56"/>
    </row>
    <row r="2809" spans="1:22" x14ac:dyDescent="0.25">
      <c r="A2809" s="25">
        <v>2798</v>
      </c>
      <c r="B2809" s="23"/>
      <c r="C2809" s="14" t="s">
        <v>505</v>
      </c>
      <c r="D2809" s="23"/>
      <c r="E2809" s="84"/>
      <c r="F2809" s="23"/>
      <c r="G2809" s="165"/>
      <c r="H2809" s="165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56"/>
    </row>
    <row r="2810" spans="1:22" x14ac:dyDescent="0.25">
      <c r="A2810" s="25">
        <v>2799</v>
      </c>
      <c r="B2810" s="23"/>
      <c r="C2810" s="150" t="s">
        <v>1123</v>
      </c>
      <c r="D2810" s="23"/>
      <c r="E2810" s="36">
        <f>200*4</f>
        <v>800</v>
      </c>
      <c r="F2810" s="138" t="s">
        <v>37</v>
      </c>
      <c r="G2810" s="151">
        <v>120</v>
      </c>
      <c r="H2810" s="165">
        <f>G2810*E2810</f>
        <v>96000</v>
      </c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56"/>
    </row>
    <row r="2811" spans="1:22" x14ac:dyDescent="0.25">
      <c r="A2811" s="25">
        <v>2800</v>
      </c>
      <c r="B2811" s="23"/>
      <c r="C2811" s="150" t="s">
        <v>1124</v>
      </c>
      <c r="D2811" s="23"/>
      <c r="E2811" s="36">
        <f t="shared" ref="E2811:E2812" si="232">200*4</f>
        <v>800</v>
      </c>
      <c r="F2811" s="138" t="s">
        <v>37</v>
      </c>
      <c r="G2811" s="151">
        <v>180</v>
      </c>
      <c r="H2811" s="165">
        <f t="shared" ref="H2811:H2812" si="233">G2811*E2811</f>
        <v>144000</v>
      </c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  <c r="U2811" s="8"/>
      <c r="V2811" s="56"/>
    </row>
    <row r="2812" spans="1:22" x14ac:dyDescent="0.25">
      <c r="A2812" s="25">
        <v>2801</v>
      </c>
      <c r="B2812" s="23"/>
      <c r="C2812" s="150" t="s">
        <v>1125</v>
      </c>
      <c r="D2812" s="23"/>
      <c r="E2812" s="36">
        <f t="shared" si="232"/>
        <v>800</v>
      </c>
      <c r="F2812" s="138" t="s">
        <v>37</v>
      </c>
      <c r="G2812" s="151">
        <v>120</v>
      </c>
      <c r="H2812" s="165">
        <f t="shared" si="233"/>
        <v>96000</v>
      </c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  <c r="U2812" s="8"/>
      <c r="V2812" s="56"/>
    </row>
    <row r="2813" spans="1:22" x14ac:dyDescent="0.25">
      <c r="A2813" s="25">
        <v>2802</v>
      </c>
      <c r="B2813" s="23"/>
      <c r="C2813" s="14"/>
      <c r="D2813" s="23"/>
      <c r="E2813" s="84"/>
      <c r="F2813" s="23"/>
      <c r="G2813" s="165"/>
      <c r="H2813" s="165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  <c r="U2813" s="8"/>
      <c r="V2813" s="56"/>
    </row>
    <row r="2814" spans="1:22" ht="30" x14ac:dyDescent="0.25">
      <c r="A2814" s="25">
        <v>2803</v>
      </c>
      <c r="B2814" s="89" t="s">
        <v>222</v>
      </c>
      <c r="C2814" s="90" t="s">
        <v>114</v>
      </c>
      <c r="D2814" s="89" t="s">
        <v>27</v>
      </c>
      <c r="E2814" s="89"/>
      <c r="F2814" s="89"/>
      <c r="G2814" s="163"/>
      <c r="H2814" s="167">
        <v>92400</v>
      </c>
      <c r="I2814" s="89" t="s">
        <v>52</v>
      </c>
      <c r="J2814" s="60">
        <v>1</v>
      </c>
      <c r="K2814" s="60"/>
      <c r="L2814" s="60"/>
      <c r="M2814" s="60"/>
      <c r="N2814" s="60"/>
      <c r="O2814" s="60"/>
      <c r="P2814" s="60">
        <v>1</v>
      </c>
      <c r="Q2814" s="60"/>
      <c r="R2814" s="60"/>
      <c r="S2814" s="60"/>
      <c r="T2814" s="60"/>
      <c r="U2814" s="60"/>
      <c r="V2814" s="56"/>
    </row>
    <row r="2815" spans="1:22" x14ac:dyDescent="0.25">
      <c r="A2815" s="25">
        <v>2804</v>
      </c>
      <c r="B2815" s="23"/>
      <c r="C2815" s="14" t="s">
        <v>1126</v>
      </c>
      <c r="D2815" s="23"/>
      <c r="E2815" s="84"/>
      <c r="F2815" s="23"/>
      <c r="G2815" s="165"/>
      <c r="H2815" s="165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  <c r="U2815" s="8"/>
      <c r="V2815" s="56"/>
    </row>
    <row r="2816" spans="1:22" x14ac:dyDescent="0.25">
      <c r="A2816" s="25">
        <v>2805</v>
      </c>
      <c r="B2816" s="23"/>
      <c r="C2816" s="14" t="s">
        <v>247</v>
      </c>
      <c r="D2816" s="23"/>
      <c r="E2816" s="33">
        <f>20*14</f>
        <v>280</v>
      </c>
      <c r="F2816" s="33" t="s">
        <v>37</v>
      </c>
      <c r="G2816" s="15">
        <v>180</v>
      </c>
      <c r="H2816" s="165">
        <f>G2816*E2816</f>
        <v>50400</v>
      </c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  <c r="U2816" s="8"/>
      <c r="V2816" s="56"/>
    </row>
    <row r="2817" spans="1:22" x14ac:dyDescent="0.25">
      <c r="A2817" s="25">
        <v>2806</v>
      </c>
      <c r="B2817" s="23"/>
      <c r="C2817" s="14" t="s">
        <v>302</v>
      </c>
      <c r="D2817" s="23"/>
      <c r="E2817" s="33">
        <f>20*14</f>
        <v>280</v>
      </c>
      <c r="F2817" s="33" t="s">
        <v>37</v>
      </c>
      <c r="G2817" s="15">
        <v>120</v>
      </c>
      <c r="H2817" s="165">
        <f t="shared" ref="H2817:H2818" si="234">G2817*E2817</f>
        <v>33600</v>
      </c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56"/>
    </row>
    <row r="2818" spans="1:22" x14ac:dyDescent="0.25">
      <c r="A2818" s="25">
        <v>2807</v>
      </c>
      <c r="B2818" s="23"/>
      <c r="C2818" s="16" t="s">
        <v>504</v>
      </c>
      <c r="D2818" s="23"/>
      <c r="E2818" s="33">
        <f>10*2</f>
        <v>20</v>
      </c>
      <c r="F2818" s="36" t="s">
        <v>567</v>
      </c>
      <c r="G2818" s="17">
        <v>420</v>
      </c>
      <c r="H2818" s="165">
        <f t="shared" si="234"/>
        <v>8400</v>
      </c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56"/>
    </row>
    <row r="2819" spans="1:22" x14ac:dyDescent="0.25">
      <c r="A2819" s="25">
        <v>2808</v>
      </c>
      <c r="B2819" s="23"/>
      <c r="C2819" s="14"/>
      <c r="D2819" s="23"/>
      <c r="E2819" s="84"/>
      <c r="F2819" s="23"/>
      <c r="G2819" s="165"/>
      <c r="H2819" s="165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  <c r="U2819" s="8"/>
      <c r="V2819" s="56"/>
    </row>
    <row r="2820" spans="1:22" x14ac:dyDescent="0.25">
      <c r="A2820" s="25">
        <v>2809</v>
      </c>
      <c r="B2820" s="23"/>
      <c r="C2820" s="14"/>
      <c r="D2820" s="23"/>
      <c r="E2820" s="84"/>
      <c r="F2820" s="23"/>
      <c r="G2820" s="165"/>
      <c r="H2820" s="165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56"/>
    </row>
    <row r="2821" spans="1:22" ht="30" x14ac:dyDescent="0.25">
      <c r="A2821" s="25">
        <v>2810</v>
      </c>
      <c r="B2821" s="89" t="s">
        <v>222</v>
      </c>
      <c r="C2821" s="90" t="s">
        <v>186</v>
      </c>
      <c r="D2821" s="89" t="s">
        <v>27</v>
      </c>
      <c r="E2821" s="89"/>
      <c r="F2821" s="89"/>
      <c r="G2821" s="163"/>
      <c r="H2821" s="167">
        <v>144000</v>
      </c>
      <c r="I2821" s="89" t="s">
        <v>52</v>
      </c>
      <c r="J2821" s="60">
        <v>1</v>
      </c>
      <c r="K2821" s="60">
        <v>2</v>
      </c>
      <c r="L2821" s="60">
        <v>1</v>
      </c>
      <c r="M2821" s="60">
        <v>2</v>
      </c>
      <c r="N2821" s="60">
        <v>2</v>
      </c>
      <c r="O2821" s="60">
        <v>1</v>
      </c>
      <c r="P2821" s="60">
        <v>2</v>
      </c>
      <c r="Q2821" s="60">
        <v>1</v>
      </c>
      <c r="R2821" s="60">
        <v>1</v>
      </c>
      <c r="S2821" s="60">
        <v>2</v>
      </c>
      <c r="T2821" s="60">
        <v>2</v>
      </c>
      <c r="U2821" s="60">
        <v>1</v>
      </c>
      <c r="V2821" s="56"/>
    </row>
    <row r="2822" spans="1:22" x14ac:dyDescent="0.25">
      <c r="A2822" s="25">
        <v>2811</v>
      </c>
      <c r="B2822" s="23"/>
      <c r="C2822" s="14" t="s">
        <v>235</v>
      </c>
      <c r="D2822" s="23"/>
      <c r="E2822" s="84"/>
      <c r="F2822" s="23"/>
      <c r="G2822" s="165"/>
      <c r="H2822" s="165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56"/>
    </row>
    <row r="2823" spans="1:22" x14ac:dyDescent="0.25">
      <c r="A2823" s="25">
        <v>2812</v>
      </c>
      <c r="B2823" s="23"/>
      <c r="C2823" s="111" t="s">
        <v>1242</v>
      </c>
      <c r="D2823" s="23"/>
      <c r="E2823" s="112">
        <f>35*4</f>
        <v>140</v>
      </c>
      <c r="F2823" s="112" t="s">
        <v>37</v>
      </c>
      <c r="G2823" s="113">
        <v>250</v>
      </c>
      <c r="H2823" s="165">
        <f>G2823*E2823</f>
        <v>35000</v>
      </c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56"/>
    </row>
    <row r="2824" spans="1:22" x14ac:dyDescent="0.25">
      <c r="A2824" s="25">
        <v>2813</v>
      </c>
      <c r="B2824" s="23"/>
      <c r="C2824" s="111" t="s">
        <v>1243</v>
      </c>
      <c r="D2824" s="23"/>
      <c r="E2824" s="112">
        <f t="shared" ref="E2824:E2825" si="235">35*4</f>
        <v>140</v>
      </c>
      <c r="F2824" s="112" t="s">
        <v>37</v>
      </c>
      <c r="G2824" s="113">
        <v>220</v>
      </c>
      <c r="H2824" s="165">
        <f t="shared" ref="H2824:H2827" si="236">G2824*E2824</f>
        <v>30800</v>
      </c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  <c r="U2824" s="8"/>
      <c r="V2824" s="56"/>
    </row>
    <row r="2825" spans="1:22" x14ac:dyDescent="0.25">
      <c r="A2825" s="25">
        <v>2814</v>
      </c>
      <c r="B2825" s="23"/>
      <c r="C2825" s="111" t="s">
        <v>1244</v>
      </c>
      <c r="D2825" s="23"/>
      <c r="E2825" s="112">
        <f t="shared" si="235"/>
        <v>140</v>
      </c>
      <c r="F2825" s="112" t="s">
        <v>37</v>
      </c>
      <c r="G2825" s="113">
        <v>320</v>
      </c>
      <c r="H2825" s="165">
        <f t="shared" si="236"/>
        <v>44800</v>
      </c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  <c r="U2825" s="8"/>
      <c r="V2825" s="56"/>
    </row>
    <row r="2826" spans="1:22" x14ac:dyDescent="0.25">
      <c r="A2826" s="25">
        <v>2815</v>
      </c>
      <c r="B2826" s="23"/>
      <c r="C2826" s="111" t="s">
        <v>747</v>
      </c>
      <c r="D2826" s="23"/>
      <c r="E2826" s="112">
        <f>6*4</f>
        <v>24</v>
      </c>
      <c r="F2826" s="23" t="s">
        <v>567</v>
      </c>
      <c r="G2826" s="113">
        <v>346.66665999999998</v>
      </c>
      <c r="H2826" s="165">
        <f t="shared" si="236"/>
        <v>8319.9998400000004</v>
      </c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  <c r="U2826" s="8"/>
      <c r="V2826" s="56"/>
    </row>
    <row r="2827" spans="1:22" x14ac:dyDescent="0.25">
      <c r="A2827" s="25">
        <v>2816</v>
      </c>
      <c r="B2827" s="23"/>
      <c r="C2827" s="111" t="s">
        <v>1246</v>
      </c>
      <c r="D2827" s="23"/>
      <c r="E2827" s="112">
        <f>6*4</f>
        <v>24</v>
      </c>
      <c r="F2827" s="23" t="s">
        <v>567</v>
      </c>
      <c r="G2827" s="113">
        <v>1045</v>
      </c>
      <c r="H2827" s="165">
        <f t="shared" si="236"/>
        <v>25080</v>
      </c>
      <c r="I2827" s="71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  <c r="U2827" s="8"/>
      <c r="V2827" s="56"/>
    </row>
    <row r="2828" spans="1:22" x14ac:dyDescent="0.25">
      <c r="A2828" s="25">
        <v>2817</v>
      </c>
      <c r="B2828" s="23"/>
      <c r="C2828" s="14"/>
      <c r="D2828" s="23"/>
      <c r="E2828" s="84"/>
      <c r="F2828" s="23"/>
      <c r="G2828" s="165"/>
      <c r="H2828" s="165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56"/>
    </row>
    <row r="2829" spans="1:22" ht="30" x14ac:dyDescent="0.25">
      <c r="A2829" s="25">
        <v>2818</v>
      </c>
      <c r="B2829" s="89" t="s">
        <v>222</v>
      </c>
      <c r="C2829" s="90" t="s">
        <v>82</v>
      </c>
      <c r="D2829" s="89" t="s">
        <v>27</v>
      </c>
      <c r="E2829" s="89"/>
      <c r="F2829" s="89"/>
      <c r="G2829" s="163"/>
      <c r="H2829" s="167">
        <v>240000</v>
      </c>
      <c r="I2829" s="89" t="s">
        <v>52</v>
      </c>
      <c r="J2829" s="60"/>
      <c r="K2829" s="60">
        <v>3</v>
      </c>
      <c r="L2829" s="60"/>
      <c r="M2829" s="60"/>
      <c r="N2829" s="60"/>
      <c r="O2829" s="60"/>
      <c r="P2829" s="60"/>
      <c r="Q2829" s="60"/>
      <c r="R2829" s="60"/>
      <c r="S2829" s="60"/>
      <c r="T2829" s="60"/>
      <c r="U2829" s="60"/>
      <c r="V2829" s="56"/>
    </row>
    <row r="2830" spans="1:22" x14ac:dyDescent="0.25">
      <c r="A2830" s="25">
        <v>2819</v>
      </c>
      <c r="B2830" s="23"/>
      <c r="C2830" s="14" t="s">
        <v>699</v>
      </c>
      <c r="D2830" s="23"/>
      <c r="E2830" s="84">
        <v>25</v>
      </c>
      <c r="F2830" s="23" t="s">
        <v>37</v>
      </c>
      <c r="G2830" s="165">
        <v>4800</v>
      </c>
      <c r="H2830" s="165">
        <v>120000</v>
      </c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56"/>
    </row>
    <row r="2831" spans="1:22" x14ac:dyDescent="0.25">
      <c r="A2831" s="25">
        <v>2820</v>
      </c>
      <c r="B2831" s="23"/>
      <c r="C2831" s="14" t="s">
        <v>700</v>
      </c>
      <c r="D2831" s="23"/>
      <c r="E2831" s="84">
        <v>25</v>
      </c>
      <c r="F2831" s="23" t="s">
        <v>37</v>
      </c>
      <c r="G2831" s="165">
        <v>4800</v>
      </c>
      <c r="H2831" s="165">
        <v>120000</v>
      </c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  <c r="U2831" s="8"/>
      <c r="V2831" s="56"/>
    </row>
    <row r="2832" spans="1:22" x14ac:dyDescent="0.25">
      <c r="A2832" s="25">
        <v>2821</v>
      </c>
      <c r="B2832" s="23"/>
      <c r="C2832" s="14"/>
      <c r="D2832" s="23"/>
      <c r="E2832" s="84"/>
      <c r="F2832" s="23"/>
      <c r="G2832" s="165"/>
      <c r="H2832" s="165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56"/>
    </row>
    <row r="2833" spans="1:22" ht="45" x14ac:dyDescent="0.25">
      <c r="A2833" s="25">
        <v>2822</v>
      </c>
      <c r="B2833" s="89" t="s">
        <v>222</v>
      </c>
      <c r="C2833" s="90" t="s">
        <v>173</v>
      </c>
      <c r="D2833" s="89" t="s">
        <v>27</v>
      </c>
      <c r="E2833" s="89"/>
      <c r="F2833" s="89"/>
      <c r="G2833" s="163"/>
      <c r="H2833" s="167">
        <v>147000</v>
      </c>
      <c r="I2833" s="89" t="s">
        <v>52</v>
      </c>
      <c r="J2833" s="60"/>
      <c r="K2833" s="60"/>
      <c r="L2833" s="60"/>
      <c r="M2833" s="60">
        <v>3</v>
      </c>
      <c r="N2833" s="60"/>
      <c r="O2833" s="60"/>
      <c r="P2833" s="60"/>
      <c r="Q2833" s="60"/>
      <c r="R2833" s="60"/>
      <c r="S2833" s="60"/>
      <c r="T2833" s="60"/>
      <c r="U2833" s="60"/>
      <c r="V2833" s="56"/>
    </row>
    <row r="2834" spans="1:22" x14ac:dyDescent="0.25">
      <c r="A2834" s="25">
        <v>2823</v>
      </c>
      <c r="B2834" s="23"/>
      <c r="C2834" s="14" t="s">
        <v>54</v>
      </c>
      <c r="D2834" s="23"/>
      <c r="E2834" s="84"/>
      <c r="F2834" s="23"/>
      <c r="G2834" s="165"/>
      <c r="H2834" s="165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56"/>
    </row>
    <row r="2835" spans="1:22" x14ac:dyDescent="0.25">
      <c r="A2835" s="25">
        <v>2824</v>
      </c>
      <c r="B2835" s="23"/>
      <c r="C2835" s="63" t="s">
        <v>337</v>
      </c>
      <c r="D2835" s="23"/>
      <c r="E2835" s="64">
        <v>350</v>
      </c>
      <c r="F2835" s="64" t="s">
        <v>37</v>
      </c>
      <c r="G2835" s="168">
        <v>120</v>
      </c>
      <c r="H2835" s="165">
        <f>G2835*E2835</f>
        <v>42000</v>
      </c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56"/>
    </row>
    <row r="2836" spans="1:22" x14ac:dyDescent="0.25">
      <c r="A2836" s="25">
        <v>2825</v>
      </c>
      <c r="B2836" s="23"/>
      <c r="C2836" s="63" t="s">
        <v>247</v>
      </c>
      <c r="D2836" s="23"/>
      <c r="E2836" s="64">
        <v>350</v>
      </c>
      <c r="F2836" s="64" t="s">
        <v>37</v>
      </c>
      <c r="G2836" s="168">
        <v>180</v>
      </c>
      <c r="H2836" s="165">
        <f>G2836*E2836</f>
        <v>63000</v>
      </c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56"/>
    </row>
    <row r="2837" spans="1:22" x14ac:dyDescent="0.25">
      <c r="A2837" s="25">
        <v>2826</v>
      </c>
      <c r="B2837" s="23"/>
      <c r="C2837" s="63" t="s">
        <v>338</v>
      </c>
      <c r="D2837" s="23"/>
      <c r="E2837" s="64">
        <v>350</v>
      </c>
      <c r="F2837" s="64" t="s">
        <v>37</v>
      </c>
      <c r="G2837" s="168">
        <v>120</v>
      </c>
      <c r="H2837" s="165">
        <f>G2837*E2837</f>
        <v>42000</v>
      </c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  <c r="U2837" s="8"/>
      <c r="V2837" s="56"/>
    </row>
    <row r="2838" spans="1:22" x14ac:dyDescent="0.25">
      <c r="A2838" s="25">
        <v>2827</v>
      </c>
      <c r="B2838" s="23"/>
      <c r="C2838" s="14"/>
      <c r="D2838" s="23"/>
      <c r="E2838" s="84"/>
      <c r="F2838" s="23"/>
      <c r="G2838" s="165"/>
      <c r="H2838" s="165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56"/>
    </row>
    <row r="2839" spans="1:22" ht="30" x14ac:dyDescent="0.25">
      <c r="A2839" s="25">
        <v>2828</v>
      </c>
      <c r="B2839" s="89" t="s">
        <v>222</v>
      </c>
      <c r="C2839" s="90" t="s">
        <v>105</v>
      </c>
      <c r="D2839" s="89" t="s">
        <v>27</v>
      </c>
      <c r="E2839" s="89"/>
      <c r="F2839" s="89"/>
      <c r="G2839" s="163"/>
      <c r="H2839" s="167">
        <v>300000</v>
      </c>
      <c r="I2839" s="89" t="s">
        <v>52</v>
      </c>
      <c r="J2839" s="60">
        <v>1</v>
      </c>
      <c r="K2839" s="60">
        <v>1</v>
      </c>
      <c r="L2839" s="60">
        <v>1</v>
      </c>
      <c r="M2839" s="60">
        <v>1</v>
      </c>
      <c r="N2839" s="60">
        <v>1</v>
      </c>
      <c r="O2839" s="60">
        <v>1</v>
      </c>
      <c r="P2839" s="60">
        <v>1</v>
      </c>
      <c r="Q2839" s="60">
        <v>1</v>
      </c>
      <c r="R2839" s="60">
        <v>1</v>
      </c>
      <c r="S2839" s="60">
        <v>1</v>
      </c>
      <c r="T2839" s="60">
        <v>1</v>
      </c>
      <c r="U2839" s="60">
        <v>1</v>
      </c>
      <c r="V2839" s="56"/>
    </row>
    <row r="2840" spans="1:22" x14ac:dyDescent="0.25">
      <c r="A2840" s="25">
        <v>2829</v>
      </c>
      <c r="B2840" s="23"/>
      <c r="C2840" s="14" t="s">
        <v>367</v>
      </c>
      <c r="D2840" s="23"/>
      <c r="E2840" s="84"/>
      <c r="F2840" s="23"/>
      <c r="G2840" s="165"/>
      <c r="H2840" s="165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  <c r="U2840" s="8"/>
      <c r="V2840" s="56"/>
    </row>
    <row r="2841" spans="1:22" x14ac:dyDescent="0.25">
      <c r="A2841" s="25">
        <v>2830</v>
      </c>
      <c r="B2841" s="23"/>
      <c r="C2841" s="16" t="s">
        <v>1040</v>
      </c>
      <c r="D2841" s="23"/>
      <c r="E2841" s="25">
        <f>175*4</f>
        <v>700</v>
      </c>
      <c r="F2841" s="25" t="s">
        <v>37</v>
      </c>
      <c r="G2841" s="17">
        <v>120</v>
      </c>
      <c r="H2841" s="165">
        <f>G2841*E2841</f>
        <v>84000</v>
      </c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  <c r="U2841" s="8"/>
      <c r="V2841" s="56"/>
    </row>
    <row r="2842" spans="1:22" x14ac:dyDescent="0.25">
      <c r="A2842" s="25">
        <v>2831</v>
      </c>
      <c r="B2842" s="23"/>
      <c r="C2842" s="16" t="s">
        <v>264</v>
      </c>
      <c r="D2842" s="23"/>
      <c r="E2842" s="25">
        <f>180*4</f>
        <v>720</v>
      </c>
      <c r="F2842" s="25" t="s">
        <v>37</v>
      </c>
      <c r="G2842" s="17">
        <v>180</v>
      </c>
      <c r="H2842" s="165">
        <f t="shared" ref="H2842:H2843" si="237">G2842*E2842</f>
        <v>129600</v>
      </c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56"/>
    </row>
    <row r="2843" spans="1:22" x14ac:dyDescent="0.25">
      <c r="A2843" s="25">
        <v>2832</v>
      </c>
      <c r="B2843" s="23"/>
      <c r="C2843" s="16" t="s">
        <v>1041</v>
      </c>
      <c r="D2843" s="23"/>
      <c r="E2843" s="25">
        <f>180*4</f>
        <v>720</v>
      </c>
      <c r="F2843" s="25" t="s">
        <v>37</v>
      </c>
      <c r="G2843" s="17">
        <v>120</v>
      </c>
      <c r="H2843" s="165">
        <f t="shared" si="237"/>
        <v>86400</v>
      </c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  <c r="U2843" s="8"/>
      <c r="V2843" s="56"/>
    </row>
    <row r="2844" spans="1:22" x14ac:dyDescent="0.25">
      <c r="A2844" s="25">
        <v>2833</v>
      </c>
      <c r="B2844" s="23"/>
      <c r="C2844" s="14"/>
      <c r="D2844" s="23"/>
      <c r="E2844" s="84"/>
      <c r="F2844" s="23"/>
      <c r="G2844" s="165"/>
      <c r="H2844" s="165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  <c r="U2844" s="8"/>
      <c r="V2844" s="56"/>
    </row>
    <row r="2845" spans="1:22" ht="30" x14ac:dyDescent="0.25">
      <c r="A2845" s="25">
        <v>2834</v>
      </c>
      <c r="B2845" s="89" t="s">
        <v>222</v>
      </c>
      <c r="C2845" s="90" t="s">
        <v>97</v>
      </c>
      <c r="D2845" s="89" t="s">
        <v>27</v>
      </c>
      <c r="E2845" s="89"/>
      <c r="F2845" s="89"/>
      <c r="G2845" s="163"/>
      <c r="H2845" s="167">
        <v>100800</v>
      </c>
      <c r="I2845" s="89" t="s">
        <v>52</v>
      </c>
      <c r="J2845" s="60">
        <v>1</v>
      </c>
      <c r="K2845" s="60">
        <v>1</v>
      </c>
      <c r="L2845" s="60">
        <v>1</v>
      </c>
      <c r="M2845" s="60">
        <v>1</v>
      </c>
      <c r="N2845" s="60">
        <v>1</v>
      </c>
      <c r="O2845" s="60">
        <v>1</v>
      </c>
      <c r="P2845" s="60">
        <v>1</v>
      </c>
      <c r="Q2845" s="60">
        <v>1</v>
      </c>
      <c r="R2845" s="60">
        <v>1</v>
      </c>
      <c r="S2845" s="60">
        <v>1</v>
      </c>
      <c r="T2845" s="60">
        <v>1</v>
      </c>
      <c r="U2845" s="60">
        <v>1</v>
      </c>
      <c r="V2845" s="56"/>
    </row>
    <row r="2846" spans="1:22" x14ac:dyDescent="0.25">
      <c r="A2846" s="25">
        <v>2835</v>
      </c>
      <c r="B2846" s="23"/>
      <c r="C2846" s="14" t="s">
        <v>895</v>
      </c>
      <c r="D2846" s="23"/>
      <c r="E2846" s="84"/>
      <c r="F2846" s="23"/>
      <c r="G2846" s="165"/>
      <c r="H2846" s="165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  <c r="U2846" s="8"/>
      <c r="V2846" s="56"/>
    </row>
    <row r="2847" spans="1:22" x14ac:dyDescent="0.25">
      <c r="A2847" s="25">
        <v>2836</v>
      </c>
      <c r="B2847" s="23"/>
      <c r="C2847" s="1" t="s">
        <v>750</v>
      </c>
      <c r="D2847" s="23"/>
      <c r="E2847" s="8">
        <f>24*10</f>
        <v>240</v>
      </c>
      <c r="F2847" s="8" t="s">
        <v>37</v>
      </c>
      <c r="G2847" s="180">
        <v>120</v>
      </c>
      <c r="H2847" s="165">
        <f>G2847*E2847</f>
        <v>28800</v>
      </c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56"/>
    </row>
    <row r="2848" spans="1:22" x14ac:dyDescent="0.25">
      <c r="A2848" s="25">
        <v>2837</v>
      </c>
      <c r="B2848" s="23"/>
      <c r="C2848" s="1" t="s">
        <v>346</v>
      </c>
      <c r="D2848" s="23"/>
      <c r="E2848" s="8">
        <f t="shared" ref="E2848:E2849" si="238">24*10</f>
        <v>240</v>
      </c>
      <c r="F2848" s="8" t="s">
        <v>37</v>
      </c>
      <c r="G2848" s="180">
        <v>180</v>
      </c>
      <c r="H2848" s="165">
        <f t="shared" ref="H2848:H2849" si="239">G2848*E2848</f>
        <v>43200</v>
      </c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56"/>
    </row>
    <row r="2849" spans="1:22" x14ac:dyDescent="0.25">
      <c r="A2849" s="25">
        <v>2838</v>
      </c>
      <c r="B2849" s="23"/>
      <c r="C2849" s="1" t="s">
        <v>302</v>
      </c>
      <c r="D2849" s="23"/>
      <c r="E2849" s="8">
        <f t="shared" si="238"/>
        <v>240</v>
      </c>
      <c r="F2849" s="8" t="s">
        <v>37</v>
      </c>
      <c r="G2849" s="180">
        <v>120</v>
      </c>
      <c r="H2849" s="165">
        <f t="shared" si="239"/>
        <v>28800</v>
      </c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  <c r="U2849" s="8"/>
      <c r="V2849" s="56"/>
    </row>
    <row r="2850" spans="1:22" x14ac:dyDescent="0.25">
      <c r="A2850" s="25">
        <v>2839</v>
      </c>
      <c r="B2850" s="23"/>
      <c r="C2850" s="14"/>
      <c r="D2850" s="23"/>
      <c r="E2850" s="84"/>
      <c r="F2850" s="23"/>
      <c r="G2850" s="165"/>
      <c r="H2850" s="165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  <c r="U2850" s="8"/>
      <c r="V2850" s="56"/>
    </row>
    <row r="2851" spans="1:22" ht="30" x14ac:dyDescent="0.25">
      <c r="A2851" s="25">
        <v>2840</v>
      </c>
      <c r="B2851" s="89" t="s">
        <v>222</v>
      </c>
      <c r="C2851" s="90" t="s">
        <v>143</v>
      </c>
      <c r="D2851" s="89" t="s">
        <v>27</v>
      </c>
      <c r="E2851" s="89"/>
      <c r="F2851" s="89"/>
      <c r="G2851" s="163"/>
      <c r="H2851" s="167">
        <v>352800</v>
      </c>
      <c r="I2851" s="89" t="s">
        <v>52</v>
      </c>
      <c r="J2851" s="60">
        <v>1</v>
      </c>
      <c r="K2851" s="60"/>
      <c r="L2851" s="60"/>
      <c r="M2851" s="60">
        <v>1</v>
      </c>
      <c r="N2851" s="60"/>
      <c r="O2851" s="60"/>
      <c r="P2851" s="60">
        <v>1</v>
      </c>
      <c r="Q2851" s="60"/>
      <c r="R2851" s="60"/>
      <c r="S2851" s="60">
        <v>1</v>
      </c>
      <c r="T2851" s="60"/>
      <c r="U2851" s="60"/>
      <c r="V2851" s="56"/>
    </row>
    <row r="2852" spans="1:22" x14ac:dyDescent="0.25">
      <c r="A2852" s="25">
        <v>2841</v>
      </c>
      <c r="B2852" s="23"/>
      <c r="C2852" s="14" t="s">
        <v>54</v>
      </c>
      <c r="D2852" s="23"/>
      <c r="E2852" s="84"/>
      <c r="F2852" s="23"/>
      <c r="G2852" s="165"/>
      <c r="H2852" s="165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56"/>
    </row>
    <row r="2853" spans="1:22" x14ac:dyDescent="0.25">
      <c r="A2853" s="25">
        <v>2842</v>
      </c>
      <c r="B2853" s="23"/>
      <c r="C2853" s="111" t="s">
        <v>1271</v>
      </c>
      <c r="D2853" s="23"/>
      <c r="E2853" s="112">
        <f>90*4</f>
        <v>360</v>
      </c>
      <c r="F2853" s="112" t="s">
        <v>37</v>
      </c>
      <c r="G2853" s="113">
        <v>180</v>
      </c>
      <c r="H2853" s="165">
        <f>G2853*E2853</f>
        <v>64800</v>
      </c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56"/>
    </row>
    <row r="2854" spans="1:22" x14ac:dyDescent="0.25">
      <c r="A2854" s="25">
        <v>2843</v>
      </c>
      <c r="B2854" s="23"/>
      <c r="C2854" s="111" t="s">
        <v>1235</v>
      </c>
      <c r="D2854" s="23"/>
      <c r="E2854" s="112">
        <f t="shared" ref="E2854:E2857" si="240">90*4</f>
        <v>360</v>
      </c>
      <c r="F2854" s="112" t="s">
        <v>37</v>
      </c>
      <c r="G2854" s="113">
        <v>150</v>
      </c>
      <c r="H2854" s="165">
        <f t="shared" ref="H2854:H2857" si="241">G2854*E2854</f>
        <v>54000</v>
      </c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56"/>
    </row>
    <row r="2855" spans="1:22" x14ac:dyDescent="0.25">
      <c r="A2855" s="25">
        <v>2844</v>
      </c>
      <c r="B2855" s="23"/>
      <c r="C2855" s="111" t="s">
        <v>1236</v>
      </c>
      <c r="D2855" s="23"/>
      <c r="E2855" s="112">
        <f t="shared" si="240"/>
        <v>360</v>
      </c>
      <c r="F2855" s="112" t="s">
        <v>37</v>
      </c>
      <c r="G2855" s="113">
        <v>250</v>
      </c>
      <c r="H2855" s="165">
        <f t="shared" si="241"/>
        <v>90000</v>
      </c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56"/>
    </row>
    <row r="2856" spans="1:22" x14ac:dyDescent="0.25">
      <c r="A2856" s="25">
        <v>2845</v>
      </c>
      <c r="B2856" s="23"/>
      <c r="C2856" s="137" t="s">
        <v>1272</v>
      </c>
      <c r="D2856" s="23"/>
      <c r="E2856" s="112">
        <f t="shared" si="240"/>
        <v>360</v>
      </c>
      <c r="F2856" s="112" t="s">
        <v>37</v>
      </c>
      <c r="G2856" s="113">
        <v>150</v>
      </c>
      <c r="H2856" s="165">
        <f t="shared" si="241"/>
        <v>54000</v>
      </c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56"/>
    </row>
    <row r="2857" spans="1:22" x14ac:dyDescent="0.25">
      <c r="A2857" s="25">
        <v>2846</v>
      </c>
      <c r="B2857" s="23"/>
      <c r="C2857" s="137" t="s">
        <v>1242</v>
      </c>
      <c r="D2857" s="23"/>
      <c r="E2857" s="112">
        <f t="shared" si="240"/>
        <v>360</v>
      </c>
      <c r="F2857" s="112" t="s">
        <v>37</v>
      </c>
      <c r="G2857" s="113">
        <v>250</v>
      </c>
      <c r="H2857" s="165">
        <f t="shared" si="241"/>
        <v>90000</v>
      </c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56"/>
    </row>
    <row r="2858" spans="1:22" x14ac:dyDescent="0.25">
      <c r="A2858" s="25">
        <v>2847</v>
      </c>
      <c r="B2858" s="23"/>
      <c r="C2858" s="14"/>
      <c r="D2858" s="23"/>
      <c r="E2858" s="84"/>
      <c r="F2858" s="23"/>
      <c r="G2858" s="165"/>
      <c r="H2858" s="165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56"/>
    </row>
    <row r="2859" spans="1:22" ht="29.25" customHeight="1" x14ac:dyDescent="0.25">
      <c r="A2859" s="25">
        <v>2848</v>
      </c>
      <c r="B2859" s="89" t="s">
        <v>222</v>
      </c>
      <c r="C2859" s="90" t="s">
        <v>150</v>
      </c>
      <c r="D2859" s="89" t="s">
        <v>27</v>
      </c>
      <c r="E2859" s="89"/>
      <c r="F2859" s="89"/>
      <c r="G2859" s="163"/>
      <c r="H2859" s="167">
        <v>402000</v>
      </c>
      <c r="I2859" s="89" t="s">
        <v>52</v>
      </c>
      <c r="J2859" s="60"/>
      <c r="K2859" s="60"/>
      <c r="L2859" s="60">
        <v>2</v>
      </c>
      <c r="M2859" s="60"/>
      <c r="N2859" s="60"/>
      <c r="O2859" s="60"/>
      <c r="P2859" s="60"/>
      <c r="Q2859" s="60"/>
      <c r="R2859" s="60"/>
      <c r="S2859" s="60"/>
      <c r="T2859" s="60"/>
      <c r="U2859" s="60"/>
      <c r="V2859" s="56"/>
    </row>
    <row r="2860" spans="1:22" x14ac:dyDescent="0.25">
      <c r="A2860" s="25">
        <v>2849</v>
      </c>
      <c r="B2860" s="23"/>
      <c r="C2860" s="14" t="s">
        <v>54</v>
      </c>
      <c r="D2860" s="23"/>
      <c r="E2860" s="84"/>
      <c r="F2860" s="23"/>
      <c r="G2860" s="165"/>
      <c r="H2860" s="165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56"/>
    </row>
    <row r="2861" spans="1:22" x14ac:dyDescent="0.25">
      <c r="A2861" s="25">
        <v>2850</v>
      </c>
      <c r="B2861" s="23"/>
      <c r="C2861" s="63" t="s">
        <v>1203</v>
      </c>
      <c r="D2861" s="23"/>
      <c r="E2861" s="64">
        <f>50*20</f>
        <v>1000</v>
      </c>
      <c r="F2861" s="64" t="s">
        <v>37</v>
      </c>
      <c r="G2861" s="168">
        <v>100</v>
      </c>
      <c r="H2861" s="165">
        <f>G2861*E2861</f>
        <v>100000</v>
      </c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  <c r="U2861" s="8"/>
      <c r="V2861" s="56"/>
    </row>
    <row r="2862" spans="1:22" x14ac:dyDescent="0.25">
      <c r="A2862" s="25">
        <v>2851</v>
      </c>
      <c r="B2862" s="23"/>
      <c r="C2862" s="63" t="s">
        <v>1204</v>
      </c>
      <c r="D2862" s="23"/>
      <c r="E2862" s="64">
        <f>50*20</f>
        <v>1000</v>
      </c>
      <c r="F2862" s="64" t="s">
        <v>37</v>
      </c>
      <c r="G2862" s="168">
        <v>150</v>
      </c>
      <c r="H2862" s="165">
        <f>G2862*E2862</f>
        <v>150000</v>
      </c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56"/>
    </row>
    <row r="2863" spans="1:22" x14ac:dyDescent="0.25">
      <c r="A2863" s="25">
        <v>2852</v>
      </c>
      <c r="B2863" s="23"/>
      <c r="C2863" s="63" t="s">
        <v>1205</v>
      </c>
      <c r="D2863" s="23"/>
      <c r="E2863" s="64">
        <v>400</v>
      </c>
      <c r="F2863" s="25" t="s">
        <v>37</v>
      </c>
      <c r="G2863" s="168">
        <v>150</v>
      </c>
      <c r="H2863" s="165">
        <f>G2863*E2863</f>
        <v>60000</v>
      </c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56"/>
    </row>
    <row r="2864" spans="1:22" x14ac:dyDescent="0.25">
      <c r="A2864" s="25">
        <v>2853</v>
      </c>
      <c r="B2864" s="23"/>
      <c r="C2864" s="63" t="s">
        <v>247</v>
      </c>
      <c r="D2864" s="23"/>
      <c r="E2864" s="64">
        <v>400</v>
      </c>
      <c r="F2864" s="25" t="s">
        <v>37</v>
      </c>
      <c r="G2864" s="168">
        <v>180</v>
      </c>
      <c r="H2864" s="165">
        <f>G2864*E2864</f>
        <v>72000</v>
      </c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56"/>
    </row>
    <row r="2865" spans="1:22" x14ac:dyDescent="0.25">
      <c r="A2865" s="25">
        <v>2854</v>
      </c>
      <c r="B2865" s="23"/>
      <c r="C2865" s="63" t="s">
        <v>1206</v>
      </c>
      <c r="D2865" s="23"/>
      <c r="E2865" s="64">
        <v>400</v>
      </c>
      <c r="F2865" s="8" t="s">
        <v>291</v>
      </c>
      <c r="G2865" s="168">
        <v>50</v>
      </c>
      <c r="H2865" s="165">
        <f>G2865*E2865</f>
        <v>20000</v>
      </c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56"/>
    </row>
    <row r="2866" spans="1:22" x14ac:dyDescent="0.25">
      <c r="A2866" s="25">
        <v>2855</v>
      </c>
      <c r="B2866" s="23"/>
      <c r="C2866" s="14"/>
      <c r="D2866" s="23"/>
      <c r="E2866" s="84"/>
      <c r="F2866" s="23"/>
      <c r="G2866" s="165"/>
      <c r="H2866" s="165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  <c r="U2866" s="8"/>
      <c r="V2866" s="56"/>
    </row>
    <row r="2867" spans="1:22" ht="30" x14ac:dyDescent="0.25">
      <c r="A2867" s="25">
        <v>2856</v>
      </c>
      <c r="B2867" s="89" t="s">
        <v>222</v>
      </c>
      <c r="C2867" s="90" t="s">
        <v>157</v>
      </c>
      <c r="D2867" s="89" t="s">
        <v>27</v>
      </c>
      <c r="E2867" s="89"/>
      <c r="F2867" s="89"/>
      <c r="G2867" s="163"/>
      <c r="H2867" s="167">
        <v>788400</v>
      </c>
      <c r="I2867" s="89" t="s">
        <v>52</v>
      </c>
      <c r="J2867" s="60">
        <v>1</v>
      </c>
      <c r="K2867" s="60">
        <v>2</v>
      </c>
      <c r="L2867" s="60">
        <v>1</v>
      </c>
      <c r="M2867" s="60">
        <v>1</v>
      </c>
      <c r="N2867" s="60">
        <v>1</v>
      </c>
      <c r="O2867" s="60">
        <v>1</v>
      </c>
      <c r="P2867" s="60">
        <v>1</v>
      </c>
      <c r="Q2867" s="60">
        <v>1</v>
      </c>
      <c r="R2867" s="60">
        <v>1</v>
      </c>
      <c r="S2867" s="60">
        <v>1</v>
      </c>
      <c r="T2867" s="60">
        <v>1</v>
      </c>
      <c r="U2867" s="60">
        <v>1</v>
      </c>
      <c r="V2867" s="56"/>
    </row>
    <row r="2868" spans="1:22" x14ac:dyDescent="0.25">
      <c r="A2868" s="25">
        <v>2857</v>
      </c>
      <c r="B2868" s="23"/>
      <c r="C2868" s="14" t="s">
        <v>1302</v>
      </c>
      <c r="D2868" s="23"/>
      <c r="E2868" s="84"/>
      <c r="F2868" s="23"/>
      <c r="G2868" s="165"/>
      <c r="H2868" s="165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  <c r="U2868" s="8"/>
      <c r="V2868" s="56"/>
    </row>
    <row r="2869" spans="1:22" x14ac:dyDescent="0.25">
      <c r="A2869" s="25">
        <v>2858</v>
      </c>
      <c r="B2869" s="23"/>
      <c r="C2869" s="137" t="s">
        <v>1299</v>
      </c>
      <c r="D2869" s="23"/>
      <c r="E2869" s="112">
        <f>35*27</f>
        <v>945</v>
      </c>
      <c r="F2869" s="112" t="s">
        <v>37</v>
      </c>
      <c r="G2869" s="152">
        <v>150</v>
      </c>
      <c r="H2869" s="165">
        <f>G2869*E2869</f>
        <v>141750</v>
      </c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  <c r="U2869" s="8"/>
      <c r="V2869" s="56"/>
    </row>
    <row r="2870" spans="1:22" x14ac:dyDescent="0.25">
      <c r="A2870" s="25">
        <v>2859</v>
      </c>
      <c r="B2870" s="23"/>
      <c r="C2870" s="111" t="s">
        <v>1236</v>
      </c>
      <c r="D2870" s="23"/>
      <c r="E2870" s="112">
        <f t="shared" ref="E2870:E2871" si="242">35*27</f>
        <v>945</v>
      </c>
      <c r="F2870" s="112" t="s">
        <v>37</v>
      </c>
      <c r="G2870" s="152">
        <v>250</v>
      </c>
      <c r="H2870" s="165">
        <f t="shared" ref="H2870:H2873" si="243">G2870*E2870</f>
        <v>236250</v>
      </c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56"/>
    </row>
    <row r="2871" spans="1:22" x14ac:dyDescent="0.25">
      <c r="A2871" s="25">
        <v>2860</v>
      </c>
      <c r="B2871" s="23"/>
      <c r="C2871" s="111" t="s">
        <v>1300</v>
      </c>
      <c r="D2871" s="23"/>
      <c r="E2871" s="112">
        <f t="shared" si="242"/>
        <v>945</v>
      </c>
      <c r="F2871" s="112" t="s">
        <v>37</v>
      </c>
      <c r="G2871" s="152">
        <v>400</v>
      </c>
      <c r="H2871" s="165">
        <f t="shared" si="243"/>
        <v>378000</v>
      </c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56"/>
    </row>
    <row r="2872" spans="1:22" x14ac:dyDescent="0.25">
      <c r="A2872" s="25">
        <v>2861</v>
      </c>
      <c r="B2872" s="23"/>
      <c r="C2872" s="111" t="s">
        <v>1301</v>
      </c>
      <c r="D2872" s="23"/>
      <c r="E2872" s="112">
        <f>2*27</f>
        <v>54</v>
      </c>
      <c r="F2872" s="23" t="s">
        <v>567</v>
      </c>
      <c r="G2872" s="152">
        <v>360</v>
      </c>
      <c r="H2872" s="165">
        <f t="shared" si="243"/>
        <v>19440</v>
      </c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56"/>
    </row>
    <row r="2873" spans="1:22" x14ac:dyDescent="0.25">
      <c r="A2873" s="25">
        <v>2862</v>
      </c>
      <c r="B2873" s="23"/>
      <c r="C2873" s="111" t="s">
        <v>1245</v>
      </c>
      <c r="D2873" s="23"/>
      <c r="E2873" s="112">
        <f>2*27</f>
        <v>54</v>
      </c>
      <c r="F2873" s="23" t="s">
        <v>567</v>
      </c>
      <c r="G2873" s="152">
        <v>240</v>
      </c>
      <c r="H2873" s="165">
        <f t="shared" si="243"/>
        <v>12960</v>
      </c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56"/>
    </row>
    <row r="2874" spans="1:22" x14ac:dyDescent="0.25">
      <c r="A2874" s="25">
        <v>2863</v>
      </c>
      <c r="B2874" s="23"/>
      <c r="C2874" s="14"/>
      <c r="D2874" s="23"/>
      <c r="E2874" s="84"/>
      <c r="F2874" s="23"/>
      <c r="G2874" s="165"/>
      <c r="H2874" s="165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56"/>
    </row>
    <row r="2875" spans="1:22" ht="30" x14ac:dyDescent="0.25">
      <c r="A2875" s="25">
        <v>2864</v>
      </c>
      <c r="B2875" s="89" t="s">
        <v>222</v>
      </c>
      <c r="C2875" s="90" t="s">
        <v>35</v>
      </c>
      <c r="D2875" s="89" t="s">
        <v>27</v>
      </c>
      <c r="E2875" s="89"/>
      <c r="F2875" s="89"/>
      <c r="G2875" s="163"/>
      <c r="H2875" s="167">
        <v>1583100</v>
      </c>
      <c r="I2875" s="89" t="s">
        <v>52</v>
      </c>
      <c r="J2875" s="60"/>
      <c r="K2875" s="60"/>
      <c r="L2875" s="60"/>
      <c r="M2875" s="60">
        <v>2</v>
      </c>
      <c r="N2875" s="60"/>
      <c r="O2875" s="60"/>
      <c r="P2875" s="60"/>
      <c r="Q2875" s="60"/>
      <c r="R2875" s="60"/>
      <c r="S2875" s="60"/>
      <c r="T2875" s="60"/>
      <c r="U2875" s="60"/>
      <c r="V2875" s="56"/>
    </row>
    <row r="2876" spans="1:22" x14ac:dyDescent="0.25">
      <c r="A2876" s="25">
        <v>2865</v>
      </c>
      <c r="B2876" s="23"/>
      <c r="C2876" s="14" t="s">
        <v>54</v>
      </c>
      <c r="D2876" s="23"/>
      <c r="E2876" s="84"/>
      <c r="F2876" s="23"/>
      <c r="G2876" s="165"/>
      <c r="H2876" s="165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56"/>
    </row>
    <row r="2877" spans="1:22" x14ac:dyDescent="0.25">
      <c r="A2877" s="25">
        <v>2866</v>
      </c>
      <c r="B2877" s="23"/>
      <c r="C2877" s="6" t="s">
        <v>246</v>
      </c>
      <c r="D2877" s="23"/>
      <c r="E2877" s="7">
        <v>5277</v>
      </c>
      <c r="F2877" s="2" t="s">
        <v>37</v>
      </c>
      <c r="G2877" s="141">
        <v>120</v>
      </c>
      <c r="H2877" s="165">
        <f>G2877*E2877</f>
        <v>633240</v>
      </c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56"/>
    </row>
    <row r="2878" spans="1:22" x14ac:dyDescent="0.25">
      <c r="A2878" s="25">
        <v>2867</v>
      </c>
      <c r="B2878" s="23"/>
      <c r="C2878" s="6" t="s">
        <v>247</v>
      </c>
      <c r="D2878" s="23"/>
      <c r="E2878" s="7">
        <v>5277</v>
      </c>
      <c r="F2878" s="2" t="s">
        <v>37</v>
      </c>
      <c r="G2878" s="141">
        <v>180</v>
      </c>
      <c r="H2878" s="165">
        <f>G2878*E2878</f>
        <v>949860</v>
      </c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  <c r="U2878" s="8"/>
      <c r="V2878" s="56"/>
    </row>
    <row r="2879" spans="1:22" x14ac:dyDescent="0.25">
      <c r="A2879" s="25">
        <v>2868</v>
      </c>
      <c r="B2879" s="23"/>
      <c r="C2879" s="14"/>
      <c r="D2879" s="23"/>
      <c r="E2879" s="84"/>
      <c r="F2879" s="23"/>
      <c r="G2879" s="165"/>
      <c r="H2879" s="165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56"/>
    </row>
    <row r="2880" spans="1:22" ht="30" x14ac:dyDescent="0.25">
      <c r="A2880" s="25">
        <v>2869</v>
      </c>
      <c r="B2880" s="89" t="s">
        <v>222</v>
      </c>
      <c r="C2880" s="90" t="s">
        <v>30</v>
      </c>
      <c r="D2880" s="89" t="s">
        <v>27</v>
      </c>
      <c r="E2880" s="89"/>
      <c r="F2880" s="89"/>
      <c r="G2880" s="163"/>
      <c r="H2880" s="167">
        <v>46800</v>
      </c>
      <c r="I2880" s="89" t="s">
        <v>52</v>
      </c>
      <c r="J2880" s="60"/>
      <c r="K2880" s="60"/>
      <c r="L2880" s="60"/>
      <c r="M2880" s="60">
        <v>1</v>
      </c>
      <c r="N2880" s="60"/>
      <c r="O2880" s="60"/>
      <c r="P2880" s="60"/>
      <c r="Q2880" s="60"/>
      <c r="R2880" s="60"/>
      <c r="S2880" s="60"/>
      <c r="T2880" s="60"/>
      <c r="U2880" s="60"/>
      <c r="V2880" s="56"/>
    </row>
    <row r="2881" spans="1:22" ht="28.5" x14ac:dyDescent="0.25">
      <c r="A2881" s="25">
        <v>2870</v>
      </c>
      <c r="B2881" s="23"/>
      <c r="C2881" s="14" t="s">
        <v>681</v>
      </c>
      <c r="D2881" s="23"/>
      <c r="E2881" s="84">
        <v>30</v>
      </c>
      <c r="F2881" s="23" t="s">
        <v>37</v>
      </c>
      <c r="G2881" s="165">
        <v>240</v>
      </c>
      <c r="H2881" s="165">
        <v>7200</v>
      </c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56"/>
    </row>
    <row r="2882" spans="1:22" ht="28.5" x14ac:dyDescent="0.25">
      <c r="A2882" s="25">
        <v>2871</v>
      </c>
      <c r="B2882" s="23"/>
      <c r="C2882" s="14" t="s">
        <v>682</v>
      </c>
      <c r="D2882" s="23"/>
      <c r="E2882" s="84">
        <v>30</v>
      </c>
      <c r="F2882" s="23" t="s">
        <v>37</v>
      </c>
      <c r="G2882" s="165">
        <v>240</v>
      </c>
      <c r="H2882" s="165">
        <v>7200</v>
      </c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56"/>
    </row>
    <row r="2883" spans="1:22" ht="28.5" x14ac:dyDescent="0.25">
      <c r="A2883" s="25">
        <v>2872</v>
      </c>
      <c r="B2883" s="23"/>
      <c r="C2883" s="14" t="s">
        <v>683</v>
      </c>
      <c r="D2883" s="23"/>
      <c r="E2883" s="84">
        <v>30</v>
      </c>
      <c r="F2883" s="23" t="s">
        <v>37</v>
      </c>
      <c r="G2883" s="165">
        <v>120</v>
      </c>
      <c r="H2883" s="165">
        <v>3600</v>
      </c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56"/>
    </row>
    <row r="2884" spans="1:22" ht="28.5" x14ac:dyDescent="0.25">
      <c r="A2884" s="25">
        <v>2873</v>
      </c>
      <c r="B2884" s="23"/>
      <c r="C2884" s="14" t="s">
        <v>684</v>
      </c>
      <c r="D2884" s="23"/>
      <c r="E2884" s="84">
        <v>30</v>
      </c>
      <c r="F2884" s="23" t="s">
        <v>37</v>
      </c>
      <c r="G2884" s="165">
        <v>120</v>
      </c>
      <c r="H2884" s="165">
        <v>3600</v>
      </c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56"/>
    </row>
    <row r="2885" spans="1:22" ht="28.5" x14ac:dyDescent="0.25">
      <c r="A2885" s="25">
        <v>2874</v>
      </c>
      <c r="B2885" s="23"/>
      <c r="C2885" s="14" t="s">
        <v>685</v>
      </c>
      <c r="D2885" s="23"/>
      <c r="E2885" s="84">
        <v>30</v>
      </c>
      <c r="F2885" s="23" t="s">
        <v>37</v>
      </c>
      <c r="G2885" s="165">
        <v>240</v>
      </c>
      <c r="H2885" s="165">
        <v>7200</v>
      </c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  <c r="U2885" s="8"/>
      <c r="V2885" s="56"/>
    </row>
    <row r="2886" spans="1:22" ht="28.5" x14ac:dyDescent="0.25">
      <c r="A2886" s="25">
        <v>2875</v>
      </c>
      <c r="B2886" s="23"/>
      <c r="C2886" s="14" t="s">
        <v>701</v>
      </c>
      <c r="D2886" s="23"/>
      <c r="E2886" s="84">
        <v>30</v>
      </c>
      <c r="F2886" s="23" t="s">
        <v>37</v>
      </c>
      <c r="G2886" s="165">
        <v>600</v>
      </c>
      <c r="H2886" s="165">
        <v>18000</v>
      </c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56"/>
    </row>
    <row r="2887" spans="1:22" x14ac:dyDescent="0.25">
      <c r="A2887" s="25">
        <v>2876</v>
      </c>
      <c r="B2887" s="23"/>
      <c r="C2887" s="14"/>
      <c r="D2887" s="23"/>
      <c r="E2887" s="84"/>
      <c r="F2887" s="23"/>
      <c r="G2887" s="165"/>
      <c r="H2887" s="165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  <c r="U2887" s="8"/>
      <c r="V2887" s="56"/>
    </row>
    <row r="2888" spans="1:22" ht="30" x14ac:dyDescent="0.25">
      <c r="A2888" s="25">
        <v>2877</v>
      </c>
      <c r="B2888" s="89" t="s">
        <v>222</v>
      </c>
      <c r="C2888" s="90" t="s">
        <v>34</v>
      </c>
      <c r="D2888" s="89" t="s">
        <v>27</v>
      </c>
      <c r="E2888" s="89"/>
      <c r="F2888" s="89"/>
      <c r="G2888" s="163"/>
      <c r="H2888" s="167">
        <v>178500</v>
      </c>
      <c r="I2888" s="89" t="s">
        <v>52</v>
      </c>
      <c r="J2888" s="60"/>
      <c r="K2888" s="60"/>
      <c r="L2888" s="60"/>
      <c r="M2888" s="60">
        <v>1</v>
      </c>
      <c r="N2888" s="60"/>
      <c r="O2888" s="60"/>
      <c r="P2888" s="60">
        <v>2</v>
      </c>
      <c r="Q2888" s="60"/>
      <c r="R2888" s="60"/>
      <c r="S2888" s="60"/>
      <c r="T2888" s="60"/>
      <c r="U2888" s="60"/>
      <c r="V2888" s="56"/>
    </row>
    <row r="2889" spans="1:22" x14ac:dyDescent="0.25">
      <c r="A2889" s="25">
        <v>2878</v>
      </c>
      <c r="B2889" s="23"/>
      <c r="C2889" s="14" t="s">
        <v>1118</v>
      </c>
      <c r="D2889" s="23"/>
      <c r="E2889" s="84"/>
      <c r="F2889" s="23"/>
      <c r="G2889" s="165"/>
      <c r="H2889" s="165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  <c r="U2889" s="8"/>
      <c r="V2889" s="56"/>
    </row>
    <row r="2890" spans="1:22" x14ac:dyDescent="0.25">
      <c r="A2890" s="25">
        <v>2879</v>
      </c>
      <c r="B2890" s="23"/>
      <c r="C2890" s="14" t="s">
        <v>263</v>
      </c>
      <c r="D2890" s="23"/>
      <c r="E2890" s="33">
        <f>14*17</f>
        <v>238</v>
      </c>
      <c r="F2890" s="33" t="s">
        <v>37</v>
      </c>
      <c r="G2890" s="15">
        <v>150</v>
      </c>
      <c r="H2890" s="165">
        <f>G2890*E2890</f>
        <v>35700</v>
      </c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56"/>
    </row>
    <row r="2891" spans="1:22" x14ac:dyDescent="0.25">
      <c r="A2891" s="25">
        <v>2880</v>
      </c>
      <c r="B2891" s="23"/>
      <c r="C2891" s="14" t="s">
        <v>354</v>
      </c>
      <c r="D2891" s="23"/>
      <c r="E2891" s="33">
        <f t="shared" ref="E2891:E2894" si="244">14*17</f>
        <v>238</v>
      </c>
      <c r="F2891" s="33" t="s">
        <v>37</v>
      </c>
      <c r="G2891" s="15">
        <v>120</v>
      </c>
      <c r="H2891" s="165">
        <f t="shared" ref="H2891:H2894" si="245">G2891*E2891</f>
        <v>28560</v>
      </c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56"/>
    </row>
    <row r="2892" spans="1:22" x14ac:dyDescent="0.25">
      <c r="A2892" s="25">
        <v>2881</v>
      </c>
      <c r="B2892" s="23"/>
      <c r="C2892" s="14" t="s">
        <v>247</v>
      </c>
      <c r="D2892" s="23"/>
      <c r="E2892" s="33">
        <f t="shared" si="244"/>
        <v>238</v>
      </c>
      <c r="F2892" s="33" t="s">
        <v>37</v>
      </c>
      <c r="G2892" s="15">
        <v>180</v>
      </c>
      <c r="H2892" s="165">
        <f t="shared" si="245"/>
        <v>42840</v>
      </c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56"/>
    </row>
    <row r="2893" spans="1:22" x14ac:dyDescent="0.25">
      <c r="A2893" s="25">
        <v>2882</v>
      </c>
      <c r="B2893" s="23"/>
      <c r="C2893" s="14" t="s">
        <v>302</v>
      </c>
      <c r="D2893" s="23"/>
      <c r="E2893" s="33">
        <f t="shared" si="244"/>
        <v>238</v>
      </c>
      <c r="F2893" s="33" t="s">
        <v>37</v>
      </c>
      <c r="G2893" s="15">
        <v>120</v>
      </c>
      <c r="H2893" s="165">
        <f t="shared" si="245"/>
        <v>28560</v>
      </c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  <c r="U2893" s="8"/>
      <c r="V2893" s="56"/>
    </row>
    <row r="2894" spans="1:22" x14ac:dyDescent="0.25">
      <c r="A2894" s="25">
        <v>2883</v>
      </c>
      <c r="B2894" s="23"/>
      <c r="C2894" s="16" t="s">
        <v>502</v>
      </c>
      <c r="D2894" s="23"/>
      <c r="E2894" s="33">
        <f t="shared" si="244"/>
        <v>238</v>
      </c>
      <c r="F2894" s="33" t="s">
        <v>37</v>
      </c>
      <c r="G2894" s="17">
        <v>180</v>
      </c>
      <c r="H2894" s="165">
        <f t="shared" si="245"/>
        <v>42840</v>
      </c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56"/>
    </row>
    <row r="2895" spans="1:22" x14ac:dyDescent="0.25">
      <c r="A2895" s="25">
        <v>2884</v>
      </c>
      <c r="B2895" s="23"/>
      <c r="C2895" s="14"/>
      <c r="D2895" s="23"/>
      <c r="E2895" s="84"/>
      <c r="F2895" s="23"/>
      <c r="G2895" s="165"/>
      <c r="H2895" s="165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56"/>
    </row>
    <row r="2896" spans="1:22" ht="30" x14ac:dyDescent="0.25">
      <c r="A2896" s="25">
        <v>2885</v>
      </c>
      <c r="B2896" s="89" t="s">
        <v>222</v>
      </c>
      <c r="C2896" s="90" t="s">
        <v>237</v>
      </c>
      <c r="D2896" s="89" t="s">
        <v>27</v>
      </c>
      <c r="E2896" s="89"/>
      <c r="F2896" s="89"/>
      <c r="G2896" s="163"/>
      <c r="H2896" s="167">
        <v>237300</v>
      </c>
      <c r="I2896" s="89" t="s">
        <v>52</v>
      </c>
      <c r="J2896" s="60">
        <v>1</v>
      </c>
      <c r="K2896" s="60"/>
      <c r="L2896" s="60"/>
      <c r="M2896" s="60">
        <v>1</v>
      </c>
      <c r="N2896" s="60"/>
      <c r="O2896" s="60"/>
      <c r="P2896" s="60">
        <v>2</v>
      </c>
      <c r="Q2896" s="60"/>
      <c r="R2896" s="60"/>
      <c r="S2896" s="60">
        <v>1</v>
      </c>
      <c r="T2896" s="60"/>
      <c r="U2896" s="60"/>
      <c r="V2896" s="56"/>
    </row>
    <row r="2897" spans="1:22" x14ac:dyDescent="0.25">
      <c r="A2897" s="25">
        <v>2886</v>
      </c>
      <c r="B2897" s="23"/>
      <c r="C2897" s="14" t="s">
        <v>702</v>
      </c>
      <c r="D2897" s="23"/>
      <c r="E2897" s="84">
        <v>21</v>
      </c>
      <c r="F2897" s="23" t="s">
        <v>152</v>
      </c>
      <c r="G2897" s="165">
        <v>2500</v>
      </c>
      <c r="H2897" s="165">
        <v>52500</v>
      </c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56"/>
    </row>
    <row r="2898" spans="1:22" x14ac:dyDescent="0.25">
      <c r="A2898" s="25">
        <v>2887</v>
      </c>
      <c r="B2898" s="23"/>
      <c r="C2898" s="14" t="s">
        <v>703</v>
      </c>
      <c r="D2898" s="23"/>
      <c r="E2898" s="84">
        <v>280</v>
      </c>
      <c r="F2898" s="23" t="s">
        <v>37</v>
      </c>
      <c r="G2898" s="165">
        <v>480</v>
      </c>
      <c r="H2898" s="165">
        <v>134400</v>
      </c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56"/>
    </row>
    <row r="2899" spans="1:22" ht="28.5" x14ac:dyDescent="0.25">
      <c r="A2899" s="25">
        <v>2888</v>
      </c>
      <c r="B2899" s="23"/>
      <c r="C2899" s="14" t="s">
        <v>704</v>
      </c>
      <c r="D2899" s="23"/>
      <c r="E2899" s="84">
        <v>105</v>
      </c>
      <c r="F2899" s="23" t="s">
        <v>37</v>
      </c>
      <c r="G2899" s="165">
        <v>480</v>
      </c>
      <c r="H2899" s="165">
        <v>50400</v>
      </c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  <c r="U2899" s="8"/>
      <c r="V2899" s="56"/>
    </row>
    <row r="2900" spans="1:22" x14ac:dyDescent="0.25">
      <c r="A2900" s="25">
        <v>2889</v>
      </c>
      <c r="B2900" s="23"/>
      <c r="C2900" s="14"/>
      <c r="D2900" s="23"/>
      <c r="E2900" s="84"/>
      <c r="F2900" s="23"/>
      <c r="G2900" s="165"/>
      <c r="H2900" s="165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56"/>
    </row>
    <row r="2901" spans="1:22" ht="30" x14ac:dyDescent="0.25">
      <c r="A2901" s="25">
        <v>2890</v>
      </c>
      <c r="B2901" s="89" t="s">
        <v>222</v>
      </c>
      <c r="C2901" s="90" t="s">
        <v>238</v>
      </c>
      <c r="D2901" s="89" t="s">
        <v>27</v>
      </c>
      <c r="E2901" s="89"/>
      <c r="F2901" s="89"/>
      <c r="G2901" s="163"/>
      <c r="H2901" s="167">
        <v>200000</v>
      </c>
      <c r="I2901" s="89" t="s">
        <v>52</v>
      </c>
      <c r="J2901" s="60"/>
      <c r="K2901" s="60"/>
      <c r="L2901" s="60"/>
      <c r="M2901" s="60"/>
      <c r="N2901" s="60"/>
      <c r="O2901" s="60"/>
      <c r="P2901" s="60"/>
      <c r="Q2901" s="60"/>
      <c r="R2901" s="60"/>
      <c r="S2901" s="60">
        <v>1</v>
      </c>
      <c r="T2901" s="60"/>
      <c r="U2901" s="60"/>
      <c r="V2901" s="56"/>
    </row>
    <row r="2902" spans="1:22" x14ac:dyDescent="0.25">
      <c r="A2902" s="25">
        <v>2891</v>
      </c>
      <c r="B2902" s="23"/>
      <c r="C2902" s="14" t="s">
        <v>54</v>
      </c>
      <c r="D2902" s="23"/>
      <c r="E2902" s="84"/>
      <c r="F2902" s="23"/>
      <c r="G2902" s="165"/>
      <c r="H2902" s="165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56"/>
    </row>
    <row r="2903" spans="1:22" x14ac:dyDescent="0.25">
      <c r="A2903" s="25">
        <v>2892</v>
      </c>
      <c r="B2903" s="23"/>
      <c r="C2903" s="129" t="s">
        <v>1242</v>
      </c>
      <c r="D2903" s="23"/>
      <c r="E2903" s="114">
        <v>100</v>
      </c>
      <c r="F2903" s="114" t="s">
        <v>37</v>
      </c>
      <c r="G2903" s="115">
        <v>250</v>
      </c>
      <c r="H2903" s="165">
        <f t="shared" ref="H2903:H2908" si="246">G2903*E2903</f>
        <v>25000</v>
      </c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  <c r="U2903" s="8"/>
      <c r="V2903" s="56"/>
    </row>
    <row r="2904" spans="1:22" x14ac:dyDescent="0.25">
      <c r="A2904" s="25">
        <v>2893</v>
      </c>
      <c r="B2904" s="23"/>
      <c r="C2904" s="129" t="s">
        <v>1243</v>
      </c>
      <c r="D2904" s="23"/>
      <c r="E2904" s="114">
        <v>100</v>
      </c>
      <c r="F2904" s="114" t="s">
        <v>37</v>
      </c>
      <c r="G2904" s="115">
        <v>220</v>
      </c>
      <c r="H2904" s="165">
        <f t="shared" si="246"/>
        <v>22000</v>
      </c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56"/>
    </row>
    <row r="2905" spans="1:22" x14ac:dyDescent="0.25">
      <c r="A2905" s="25">
        <v>2894</v>
      </c>
      <c r="B2905" s="23"/>
      <c r="C2905" s="129" t="s">
        <v>1244</v>
      </c>
      <c r="D2905" s="23"/>
      <c r="E2905" s="114">
        <v>100</v>
      </c>
      <c r="F2905" s="114" t="s">
        <v>37</v>
      </c>
      <c r="G2905" s="115">
        <v>320</v>
      </c>
      <c r="H2905" s="165">
        <f t="shared" si="246"/>
        <v>32000</v>
      </c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56"/>
    </row>
    <row r="2906" spans="1:22" x14ac:dyDescent="0.25">
      <c r="A2906" s="25">
        <v>2895</v>
      </c>
      <c r="B2906" s="23"/>
      <c r="C2906" s="129" t="s">
        <v>1303</v>
      </c>
      <c r="D2906" s="23"/>
      <c r="E2906" s="114">
        <v>100</v>
      </c>
      <c r="F2906" s="114" t="s">
        <v>37</v>
      </c>
      <c r="G2906" s="115">
        <v>360</v>
      </c>
      <c r="H2906" s="165">
        <f t="shared" si="246"/>
        <v>36000</v>
      </c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56"/>
    </row>
    <row r="2907" spans="1:22" x14ac:dyDescent="0.25">
      <c r="A2907" s="25">
        <v>2896</v>
      </c>
      <c r="B2907" s="23"/>
      <c r="C2907" s="129" t="s">
        <v>1248</v>
      </c>
      <c r="D2907" s="23"/>
      <c r="E2907" s="114">
        <v>100</v>
      </c>
      <c r="F2907" s="114" t="s">
        <v>37</v>
      </c>
      <c r="G2907" s="115">
        <v>400</v>
      </c>
      <c r="H2907" s="165">
        <f t="shared" si="246"/>
        <v>40000</v>
      </c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56"/>
    </row>
    <row r="2908" spans="1:22" x14ac:dyDescent="0.25">
      <c r="A2908" s="25">
        <v>2897</v>
      </c>
      <c r="B2908" s="23"/>
      <c r="C2908" s="129" t="s">
        <v>747</v>
      </c>
      <c r="D2908" s="23"/>
      <c r="E2908" s="114">
        <v>100</v>
      </c>
      <c r="F2908" s="23" t="s">
        <v>567</v>
      </c>
      <c r="G2908" s="115">
        <v>450</v>
      </c>
      <c r="H2908" s="165">
        <f t="shared" si="246"/>
        <v>45000</v>
      </c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  <c r="U2908" s="8"/>
      <c r="V2908" s="56"/>
    </row>
    <row r="2909" spans="1:22" x14ac:dyDescent="0.25">
      <c r="A2909" s="25">
        <v>2898</v>
      </c>
      <c r="B2909" s="23"/>
      <c r="C2909" s="14"/>
      <c r="D2909" s="23"/>
      <c r="E2909" s="84"/>
      <c r="F2909" s="23"/>
      <c r="G2909" s="165"/>
      <c r="H2909" s="165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56"/>
    </row>
    <row r="2910" spans="1:22" ht="30" x14ac:dyDescent="0.25">
      <c r="A2910" s="25">
        <v>2899</v>
      </c>
      <c r="B2910" s="89" t="s">
        <v>222</v>
      </c>
      <c r="C2910" s="90" t="s">
        <v>239</v>
      </c>
      <c r="D2910" s="89" t="s">
        <v>27</v>
      </c>
      <c r="E2910" s="89"/>
      <c r="F2910" s="89"/>
      <c r="G2910" s="163"/>
      <c r="H2910" s="167">
        <v>100000</v>
      </c>
      <c r="I2910" s="89" t="s">
        <v>52</v>
      </c>
      <c r="J2910" s="60">
        <v>1</v>
      </c>
      <c r="K2910" s="60"/>
      <c r="L2910" s="60"/>
      <c r="M2910" s="60">
        <v>1</v>
      </c>
      <c r="N2910" s="60"/>
      <c r="O2910" s="60"/>
      <c r="P2910" s="60">
        <v>1</v>
      </c>
      <c r="Q2910" s="60"/>
      <c r="R2910" s="60"/>
      <c r="S2910" s="60">
        <v>1</v>
      </c>
      <c r="T2910" s="60"/>
      <c r="U2910" s="60"/>
      <c r="V2910" s="56"/>
    </row>
    <row r="2911" spans="1:22" x14ac:dyDescent="0.25">
      <c r="A2911" s="25">
        <v>2900</v>
      </c>
      <c r="B2911" s="23"/>
      <c r="C2911" s="14" t="s">
        <v>54</v>
      </c>
      <c r="D2911" s="23"/>
      <c r="E2911" s="84"/>
      <c r="F2911" s="23"/>
      <c r="G2911" s="165"/>
      <c r="H2911" s="165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  <c r="U2911" s="8"/>
      <c r="V2911" s="56"/>
    </row>
    <row r="2912" spans="1:22" x14ac:dyDescent="0.25">
      <c r="A2912" s="25">
        <v>2901</v>
      </c>
      <c r="B2912" s="23"/>
      <c r="C2912" s="1" t="s">
        <v>1304</v>
      </c>
      <c r="D2912" s="23"/>
      <c r="E2912" s="8">
        <f>55*4</f>
        <v>220</v>
      </c>
      <c r="F2912" s="8" t="s">
        <v>37</v>
      </c>
      <c r="G2912" s="153">
        <v>120</v>
      </c>
      <c r="H2912" s="165">
        <f>G2912*E2912</f>
        <v>26400</v>
      </c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56"/>
    </row>
    <row r="2913" spans="1:22" x14ac:dyDescent="0.25">
      <c r="A2913" s="25">
        <v>2902</v>
      </c>
      <c r="B2913" s="23"/>
      <c r="C2913" s="1" t="s">
        <v>1305</v>
      </c>
      <c r="D2913" s="23"/>
      <c r="E2913" s="8">
        <f t="shared" ref="E2913:E2914" si="247">55*4</f>
        <v>220</v>
      </c>
      <c r="F2913" s="8" t="s">
        <v>37</v>
      </c>
      <c r="G2913" s="153">
        <v>180</v>
      </c>
      <c r="H2913" s="165">
        <f t="shared" ref="H2913:H2915" si="248">G2913*E2913</f>
        <v>39600</v>
      </c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56"/>
    </row>
    <row r="2914" spans="1:22" x14ac:dyDescent="0.25">
      <c r="A2914" s="25">
        <v>2903</v>
      </c>
      <c r="B2914" s="23"/>
      <c r="C2914" s="1" t="s">
        <v>1306</v>
      </c>
      <c r="D2914" s="23"/>
      <c r="E2914" s="8">
        <f t="shared" si="247"/>
        <v>220</v>
      </c>
      <c r="F2914" s="8" t="s">
        <v>37</v>
      </c>
      <c r="G2914" s="153">
        <v>120</v>
      </c>
      <c r="H2914" s="165">
        <f t="shared" si="248"/>
        <v>26400</v>
      </c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  <c r="U2914" s="8"/>
      <c r="V2914" s="56"/>
    </row>
    <row r="2915" spans="1:22" x14ac:dyDescent="0.25">
      <c r="A2915" s="25">
        <v>2904</v>
      </c>
      <c r="B2915" s="23"/>
      <c r="C2915" s="1" t="s">
        <v>391</v>
      </c>
      <c r="D2915" s="23"/>
      <c r="E2915" s="8">
        <f>50*4</f>
        <v>200</v>
      </c>
      <c r="F2915" s="8" t="s">
        <v>152</v>
      </c>
      <c r="G2915" s="153">
        <v>38</v>
      </c>
      <c r="H2915" s="165">
        <f t="shared" si="248"/>
        <v>7600</v>
      </c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56"/>
    </row>
    <row r="2916" spans="1:22" x14ac:dyDescent="0.25">
      <c r="A2916" s="25">
        <v>2905</v>
      </c>
      <c r="B2916" s="23"/>
      <c r="C2916" s="14"/>
      <c r="D2916" s="23"/>
      <c r="E2916" s="84"/>
      <c r="F2916" s="23"/>
      <c r="G2916" s="165"/>
      <c r="H2916" s="165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56"/>
    </row>
    <row r="2917" spans="1:22" ht="30" x14ac:dyDescent="0.25">
      <c r="A2917" s="25">
        <v>2906</v>
      </c>
      <c r="B2917" s="89" t="s">
        <v>222</v>
      </c>
      <c r="C2917" s="90" t="s">
        <v>108</v>
      </c>
      <c r="D2917" s="89" t="s">
        <v>27</v>
      </c>
      <c r="E2917" s="89"/>
      <c r="F2917" s="89"/>
      <c r="G2917" s="163"/>
      <c r="H2917" s="167">
        <v>283500</v>
      </c>
      <c r="I2917" s="89" t="s">
        <v>52</v>
      </c>
      <c r="J2917" s="60">
        <v>1</v>
      </c>
      <c r="K2917" s="60"/>
      <c r="L2917" s="60"/>
      <c r="M2917" s="60"/>
      <c r="N2917" s="60"/>
      <c r="O2917" s="60"/>
      <c r="P2917" s="60"/>
      <c r="Q2917" s="60"/>
      <c r="R2917" s="60"/>
      <c r="S2917" s="60"/>
      <c r="T2917" s="60"/>
      <c r="U2917" s="60"/>
      <c r="V2917" s="56"/>
    </row>
    <row r="2918" spans="1:22" x14ac:dyDescent="0.25">
      <c r="A2918" s="25">
        <v>2907</v>
      </c>
      <c r="B2918" s="23"/>
      <c r="C2918" s="14" t="s">
        <v>1052</v>
      </c>
      <c r="D2918" s="23"/>
      <c r="E2918" s="84"/>
      <c r="F2918" s="23"/>
      <c r="G2918" s="165"/>
      <c r="H2918" s="165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  <c r="U2918" s="8"/>
      <c r="V2918" s="56"/>
    </row>
    <row r="2919" spans="1:22" x14ac:dyDescent="0.25">
      <c r="A2919" s="25">
        <v>2908</v>
      </c>
      <c r="B2919" s="23"/>
      <c r="C2919" s="69" t="s">
        <v>1047</v>
      </c>
      <c r="D2919" s="23"/>
      <c r="E2919" s="148">
        <f>45*5</f>
        <v>225</v>
      </c>
      <c r="F2919" s="23" t="s">
        <v>37</v>
      </c>
      <c r="G2919" s="97">
        <v>120</v>
      </c>
      <c r="H2919" s="165">
        <f>G2919*E2919</f>
        <v>27000</v>
      </c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  <c r="U2919" s="8"/>
      <c r="V2919" s="56"/>
    </row>
    <row r="2920" spans="1:22" x14ac:dyDescent="0.25">
      <c r="A2920" s="25">
        <v>2909</v>
      </c>
      <c r="B2920" s="23"/>
      <c r="C2920" s="69" t="s">
        <v>1048</v>
      </c>
      <c r="D2920" s="23"/>
      <c r="E2920" s="148">
        <f t="shared" ref="E2920:E2921" si="249">45*5</f>
        <v>225</v>
      </c>
      <c r="F2920" s="23" t="s">
        <v>37</v>
      </c>
      <c r="G2920" s="97">
        <v>180</v>
      </c>
      <c r="H2920" s="165">
        <f t="shared" ref="H2920:H2921" si="250">G2920*E2920</f>
        <v>40500</v>
      </c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56"/>
    </row>
    <row r="2921" spans="1:22" x14ac:dyDescent="0.25">
      <c r="A2921" s="25">
        <v>2910</v>
      </c>
      <c r="B2921" s="23"/>
      <c r="C2921" s="69" t="s">
        <v>1049</v>
      </c>
      <c r="D2921" s="23"/>
      <c r="E2921" s="148">
        <f t="shared" si="249"/>
        <v>225</v>
      </c>
      <c r="F2921" s="23" t="s">
        <v>37</v>
      </c>
      <c r="G2921" s="97">
        <v>120</v>
      </c>
      <c r="H2921" s="165">
        <f t="shared" si="250"/>
        <v>27000</v>
      </c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  <c r="U2921" s="8"/>
      <c r="V2921" s="56"/>
    </row>
    <row r="2922" spans="1:22" x14ac:dyDescent="0.25">
      <c r="A2922" s="25">
        <v>2911</v>
      </c>
      <c r="B2922" s="23"/>
      <c r="C2922" s="14" t="s">
        <v>1053</v>
      </c>
      <c r="D2922" s="23"/>
      <c r="E2922" s="148"/>
      <c r="F2922" s="23"/>
      <c r="G2922" s="97"/>
      <c r="H2922" s="165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  <c r="U2922" s="8"/>
      <c r="V2922" s="56"/>
    </row>
    <row r="2923" spans="1:22" x14ac:dyDescent="0.25">
      <c r="A2923" s="25">
        <v>2912</v>
      </c>
      <c r="B2923" s="23"/>
      <c r="C2923" s="69" t="s">
        <v>1050</v>
      </c>
      <c r="D2923" s="23"/>
      <c r="E2923" s="148">
        <f>9*35*2</f>
        <v>630</v>
      </c>
      <c r="F2923" s="23" t="s">
        <v>37</v>
      </c>
      <c r="G2923" s="97">
        <v>180</v>
      </c>
      <c r="H2923" s="165">
        <f>G2923*E2923</f>
        <v>113400</v>
      </c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  <c r="U2923" s="8"/>
      <c r="V2923" s="56"/>
    </row>
    <row r="2924" spans="1:22" x14ac:dyDescent="0.25">
      <c r="A2924" s="25">
        <v>2913</v>
      </c>
      <c r="B2924" s="23"/>
      <c r="C2924" s="69" t="s">
        <v>1051</v>
      </c>
      <c r="D2924" s="23"/>
      <c r="E2924" s="148">
        <f>9*35*2</f>
        <v>630</v>
      </c>
      <c r="F2924" s="23" t="s">
        <v>37</v>
      </c>
      <c r="G2924" s="97">
        <v>120</v>
      </c>
      <c r="H2924" s="165">
        <f>G2924*E2924</f>
        <v>75600</v>
      </c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  <c r="U2924" s="8"/>
      <c r="V2924" s="56"/>
    </row>
    <row r="2925" spans="1:22" x14ac:dyDescent="0.25">
      <c r="A2925" s="25">
        <v>2914</v>
      </c>
      <c r="B2925" s="23"/>
      <c r="C2925" s="14"/>
      <c r="D2925" s="23"/>
      <c r="E2925" s="84"/>
      <c r="F2925" s="23"/>
      <c r="G2925" s="165"/>
      <c r="H2925" s="165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  <c r="U2925" s="8"/>
      <c r="V2925" s="56"/>
    </row>
    <row r="2926" spans="1:22" ht="30" x14ac:dyDescent="0.25">
      <c r="A2926" s="25">
        <v>2915</v>
      </c>
      <c r="B2926" s="89" t="s">
        <v>222</v>
      </c>
      <c r="C2926" s="90" t="s">
        <v>95</v>
      </c>
      <c r="D2926" s="89" t="s">
        <v>27</v>
      </c>
      <c r="E2926" s="89"/>
      <c r="F2926" s="89"/>
      <c r="G2926" s="163"/>
      <c r="H2926" s="167">
        <v>193200</v>
      </c>
      <c r="I2926" s="89" t="s">
        <v>52</v>
      </c>
      <c r="J2926" s="60">
        <v>1</v>
      </c>
      <c r="K2926" s="60">
        <v>1</v>
      </c>
      <c r="L2926" s="60">
        <v>1</v>
      </c>
      <c r="M2926" s="60">
        <v>1</v>
      </c>
      <c r="N2926" s="60">
        <v>1</v>
      </c>
      <c r="O2926" s="60">
        <v>1</v>
      </c>
      <c r="P2926" s="60">
        <v>1</v>
      </c>
      <c r="Q2926" s="60">
        <v>1</v>
      </c>
      <c r="R2926" s="60">
        <v>1</v>
      </c>
      <c r="S2926" s="60">
        <v>1</v>
      </c>
      <c r="T2926" s="60">
        <v>1</v>
      </c>
      <c r="U2926" s="60">
        <v>1</v>
      </c>
      <c r="V2926" s="56"/>
    </row>
    <row r="2927" spans="1:22" ht="28.5" x14ac:dyDescent="0.25">
      <c r="A2927" s="25">
        <v>2916</v>
      </c>
      <c r="B2927" s="23"/>
      <c r="C2927" s="14" t="s">
        <v>1045</v>
      </c>
      <c r="D2927" s="23"/>
      <c r="E2927" s="84"/>
      <c r="F2927" s="23"/>
      <c r="G2927" s="165"/>
      <c r="H2927" s="165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56"/>
    </row>
    <row r="2928" spans="1:22" x14ac:dyDescent="0.25">
      <c r="A2928" s="25">
        <v>2917</v>
      </c>
      <c r="B2928" s="23"/>
      <c r="C2928" s="1" t="s">
        <v>750</v>
      </c>
      <c r="D2928" s="23"/>
      <c r="E2928" s="8">
        <f>46*10</f>
        <v>460</v>
      </c>
      <c r="F2928" s="8" t="s">
        <v>37</v>
      </c>
      <c r="G2928" s="180">
        <v>120</v>
      </c>
      <c r="H2928" s="165">
        <f>G2928*E2928</f>
        <v>55200</v>
      </c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  <c r="U2928" s="8"/>
      <c r="V2928" s="56"/>
    </row>
    <row r="2929" spans="1:22" x14ac:dyDescent="0.25">
      <c r="A2929" s="25">
        <v>2918</v>
      </c>
      <c r="B2929" s="23"/>
      <c r="C2929" s="1" t="s">
        <v>346</v>
      </c>
      <c r="D2929" s="23"/>
      <c r="E2929" s="8">
        <f t="shared" ref="E2929:E2930" si="251">46*10</f>
        <v>460</v>
      </c>
      <c r="F2929" s="8" t="s">
        <v>37</v>
      </c>
      <c r="G2929" s="180">
        <v>180</v>
      </c>
      <c r="H2929" s="165">
        <f t="shared" ref="H2929:H2930" si="252">G2929*E2929</f>
        <v>82800</v>
      </c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56"/>
    </row>
    <row r="2930" spans="1:22" x14ac:dyDescent="0.25">
      <c r="A2930" s="25">
        <v>2919</v>
      </c>
      <c r="B2930" s="23"/>
      <c r="C2930" s="1" t="s">
        <v>302</v>
      </c>
      <c r="D2930" s="23"/>
      <c r="E2930" s="8">
        <f t="shared" si="251"/>
        <v>460</v>
      </c>
      <c r="F2930" s="8" t="s">
        <v>37</v>
      </c>
      <c r="G2930" s="180">
        <v>120</v>
      </c>
      <c r="H2930" s="165">
        <f t="shared" si="252"/>
        <v>55200</v>
      </c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  <c r="U2930" s="8"/>
      <c r="V2930" s="56"/>
    </row>
    <row r="2931" spans="1:22" x14ac:dyDescent="0.25">
      <c r="A2931" s="25">
        <v>2920</v>
      </c>
      <c r="B2931" s="23"/>
      <c r="C2931" s="14"/>
      <c r="D2931" s="23"/>
      <c r="E2931" s="84"/>
      <c r="F2931" s="23"/>
      <c r="G2931" s="165"/>
      <c r="H2931" s="165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56"/>
    </row>
    <row r="2932" spans="1:22" ht="30" x14ac:dyDescent="0.25">
      <c r="A2932" s="25">
        <v>2921</v>
      </c>
      <c r="B2932" s="89" t="s">
        <v>222</v>
      </c>
      <c r="C2932" s="90" t="s">
        <v>240</v>
      </c>
      <c r="D2932" s="89" t="s">
        <v>27</v>
      </c>
      <c r="E2932" s="89"/>
      <c r="F2932" s="89"/>
      <c r="G2932" s="163"/>
      <c r="H2932" s="167">
        <v>49260</v>
      </c>
      <c r="I2932" s="89" t="s">
        <v>52</v>
      </c>
      <c r="J2932" s="60"/>
      <c r="K2932" s="60"/>
      <c r="L2932" s="60"/>
      <c r="M2932" s="60"/>
      <c r="N2932" s="60"/>
      <c r="O2932" s="60"/>
      <c r="P2932" s="60">
        <v>1</v>
      </c>
      <c r="Q2932" s="60"/>
      <c r="R2932" s="60"/>
      <c r="S2932" s="60"/>
      <c r="T2932" s="60"/>
      <c r="U2932" s="60"/>
      <c r="V2932" s="56"/>
    </row>
    <row r="2933" spans="1:22" x14ac:dyDescent="0.25">
      <c r="A2933" s="25">
        <v>2922</v>
      </c>
      <c r="B2933" s="23"/>
      <c r="C2933" s="14" t="s">
        <v>54</v>
      </c>
      <c r="D2933" s="23"/>
      <c r="E2933" s="84"/>
      <c r="F2933" s="23"/>
      <c r="G2933" s="165"/>
      <c r="H2933" s="165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56"/>
    </row>
    <row r="2934" spans="1:22" x14ac:dyDescent="0.25">
      <c r="A2934" s="25">
        <v>2923</v>
      </c>
      <c r="B2934" s="23"/>
      <c r="C2934" s="14" t="s">
        <v>247</v>
      </c>
      <c r="D2934" s="23"/>
      <c r="E2934" s="23">
        <f>25*5</f>
        <v>125</v>
      </c>
      <c r="F2934" s="23" t="s">
        <v>37</v>
      </c>
      <c r="G2934" s="15">
        <v>180</v>
      </c>
      <c r="H2934" s="165">
        <f>G2934*E2934</f>
        <v>22500</v>
      </c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  <c r="U2934" s="8"/>
      <c r="V2934" s="56"/>
    </row>
    <row r="2935" spans="1:22" x14ac:dyDescent="0.25">
      <c r="A2935" s="25">
        <v>2924</v>
      </c>
      <c r="B2935" s="23"/>
      <c r="C2935" s="14" t="s">
        <v>302</v>
      </c>
      <c r="D2935" s="23"/>
      <c r="E2935" s="23">
        <f>25*5</f>
        <v>125</v>
      </c>
      <c r="F2935" s="23" t="s">
        <v>37</v>
      </c>
      <c r="G2935" s="15">
        <v>120</v>
      </c>
      <c r="H2935" s="165">
        <f t="shared" ref="H2935:H2936" si="253">G2935*E2935</f>
        <v>15000</v>
      </c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56"/>
    </row>
    <row r="2936" spans="1:22" x14ac:dyDescent="0.25">
      <c r="A2936" s="25">
        <v>2925</v>
      </c>
      <c r="B2936" s="23"/>
      <c r="C2936" s="16" t="s">
        <v>504</v>
      </c>
      <c r="D2936" s="23"/>
      <c r="E2936" s="23">
        <f>4*7</f>
        <v>28</v>
      </c>
      <c r="F2936" s="36" t="s">
        <v>567</v>
      </c>
      <c r="G2936" s="17">
        <v>420</v>
      </c>
      <c r="H2936" s="165">
        <f t="shared" si="253"/>
        <v>11760</v>
      </c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56"/>
    </row>
    <row r="2937" spans="1:22" x14ac:dyDescent="0.25">
      <c r="A2937" s="25">
        <v>2926</v>
      </c>
      <c r="B2937" s="23"/>
      <c r="C2937" s="14"/>
      <c r="D2937" s="23"/>
      <c r="E2937" s="84"/>
      <c r="F2937" s="23"/>
      <c r="G2937" s="165"/>
      <c r="H2937" s="165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56"/>
    </row>
    <row r="2938" spans="1:22" ht="30" x14ac:dyDescent="0.25">
      <c r="A2938" s="25">
        <v>2927</v>
      </c>
      <c r="B2938" s="89" t="s">
        <v>222</v>
      </c>
      <c r="C2938" s="90" t="s">
        <v>106</v>
      </c>
      <c r="D2938" s="89" t="s">
        <v>27</v>
      </c>
      <c r="E2938" s="89"/>
      <c r="F2938" s="89"/>
      <c r="G2938" s="163"/>
      <c r="H2938" s="167">
        <v>626280</v>
      </c>
      <c r="I2938" s="89" t="s">
        <v>52</v>
      </c>
      <c r="J2938" s="60"/>
      <c r="K2938" s="60"/>
      <c r="L2938" s="60"/>
      <c r="M2938" s="60">
        <v>1</v>
      </c>
      <c r="N2938" s="60"/>
      <c r="O2938" s="60"/>
      <c r="P2938" s="60"/>
      <c r="Q2938" s="60">
        <v>1</v>
      </c>
      <c r="R2938" s="60"/>
      <c r="S2938" s="60"/>
      <c r="T2938" s="60"/>
      <c r="U2938" s="60"/>
      <c r="V2938" s="56"/>
    </row>
    <row r="2939" spans="1:22" x14ac:dyDescent="0.25">
      <c r="A2939" s="25">
        <v>2928</v>
      </c>
      <c r="B2939" s="23"/>
      <c r="C2939" s="14" t="s">
        <v>54</v>
      </c>
      <c r="D2939" s="23"/>
      <c r="E2939" s="84"/>
      <c r="F2939" s="23"/>
      <c r="G2939" s="165"/>
      <c r="H2939" s="165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56"/>
    </row>
    <row r="2940" spans="1:22" ht="28.5" x14ac:dyDescent="0.25">
      <c r="A2940" s="25">
        <v>2929</v>
      </c>
      <c r="B2940" s="23"/>
      <c r="C2940" s="51" t="s">
        <v>1075</v>
      </c>
      <c r="D2940" s="23"/>
      <c r="E2940" s="36">
        <f>200*2</f>
        <v>400</v>
      </c>
      <c r="F2940" s="36" t="s">
        <v>37</v>
      </c>
      <c r="G2940" s="52">
        <v>120</v>
      </c>
      <c r="H2940" s="165">
        <f>G2940*E2940</f>
        <v>48000</v>
      </c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56"/>
    </row>
    <row r="2941" spans="1:22" x14ac:dyDescent="0.25">
      <c r="A2941" s="25">
        <v>2930</v>
      </c>
      <c r="B2941" s="23"/>
      <c r="C2941" s="51" t="s">
        <v>1076</v>
      </c>
      <c r="D2941" s="23"/>
      <c r="E2941" s="36">
        <f>36*20*2</f>
        <v>1440</v>
      </c>
      <c r="F2941" s="36" t="s">
        <v>37</v>
      </c>
      <c r="G2941" s="53">
        <v>180</v>
      </c>
      <c r="H2941" s="165">
        <f t="shared" ref="H2941:H2948" si="254">G2941*E2941</f>
        <v>259200</v>
      </c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56"/>
    </row>
    <row r="2942" spans="1:22" x14ac:dyDescent="0.25">
      <c r="A2942" s="25">
        <v>2931</v>
      </c>
      <c r="B2942" s="23"/>
      <c r="C2942" s="11" t="s">
        <v>1077</v>
      </c>
      <c r="D2942" s="23"/>
      <c r="E2942" s="36">
        <f>36*20*2</f>
        <v>1440</v>
      </c>
      <c r="F2942" s="36" t="s">
        <v>37</v>
      </c>
      <c r="G2942" s="53">
        <v>120</v>
      </c>
      <c r="H2942" s="165">
        <f t="shared" si="254"/>
        <v>172800</v>
      </c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56"/>
    </row>
    <row r="2943" spans="1:22" ht="28.5" x14ac:dyDescent="0.25">
      <c r="A2943" s="25">
        <v>2932</v>
      </c>
      <c r="B2943" s="23"/>
      <c r="C2943" s="6" t="s">
        <v>1078</v>
      </c>
      <c r="D2943" s="23"/>
      <c r="E2943" s="36">
        <f>12*14</f>
        <v>168</v>
      </c>
      <c r="F2943" s="36" t="s">
        <v>37</v>
      </c>
      <c r="G2943" s="53">
        <v>120</v>
      </c>
      <c r="H2943" s="165">
        <f t="shared" si="254"/>
        <v>20160</v>
      </c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56"/>
    </row>
    <row r="2944" spans="1:22" ht="28.5" x14ac:dyDescent="0.25">
      <c r="A2944" s="25">
        <v>2933</v>
      </c>
      <c r="B2944" s="23"/>
      <c r="C2944" s="6" t="s">
        <v>1079</v>
      </c>
      <c r="D2944" s="23"/>
      <c r="E2944" s="36">
        <f t="shared" ref="E2944:E2945" si="255">12*14</f>
        <v>168</v>
      </c>
      <c r="F2944" s="36" t="s">
        <v>37</v>
      </c>
      <c r="G2944" s="53">
        <v>180</v>
      </c>
      <c r="H2944" s="165">
        <f t="shared" si="254"/>
        <v>30240</v>
      </c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  <c r="U2944" s="8"/>
      <c r="V2944" s="56"/>
    </row>
    <row r="2945" spans="1:22" ht="28.5" x14ac:dyDescent="0.25">
      <c r="A2945" s="25">
        <v>2934</v>
      </c>
      <c r="B2945" s="23"/>
      <c r="C2945" s="6" t="s">
        <v>1080</v>
      </c>
      <c r="D2945" s="23"/>
      <c r="E2945" s="36">
        <f t="shared" si="255"/>
        <v>168</v>
      </c>
      <c r="F2945" s="36" t="s">
        <v>37</v>
      </c>
      <c r="G2945" s="53">
        <v>120</v>
      </c>
      <c r="H2945" s="165">
        <f t="shared" si="254"/>
        <v>20160</v>
      </c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  <c r="U2945" s="8"/>
      <c r="V2945" s="56"/>
    </row>
    <row r="2946" spans="1:22" ht="28.5" x14ac:dyDescent="0.25">
      <c r="A2946" s="25">
        <v>2935</v>
      </c>
      <c r="B2946" s="23"/>
      <c r="C2946" s="51" t="s">
        <v>1081</v>
      </c>
      <c r="D2946" s="23"/>
      <c r="E2946" s="36">
        <f>35*4</f>
        <v>140</v>
      </c>
      <c r="F2946" s="36" t="s">
        <v>37</v>
      </c>
      <c r="G2946" s="53">
        <v>120</v>
      </c>
      <c r="H2946" s="165">
        <f t="shared" si="254"/>
        <v>16800</v>
      </c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56"/>
    </row>
    <row r="2947" spans="1:22" ht="28.5" x14ac:dyDescent="0.25">
      <c r="A2947" s="25">
        <v>2936</v>
      </c>
      <c r="B2947" s="23"/>
      <c r="C2947" s="51" t="s">
        <v>1082</v>
      </c>
      <c r="D2947" s="23"/>
      <c r="E2947" s="36">
        <f t="shared" ref="E2947:E2948" si="256">35*4</f>
        <v>140</v>
      </c>
      <c r="F2947" s="36" t="s">
        <v>37</v>
      </c>
      <c r="G2947" s="53">
        <v>180</v>
      </c>
      <c r="H2947" s="165">
        <f t="shared" si="254"/>
        <v>25200</v>
      </c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56"/>
    </row>
    <row r="2948" spans="1:22" ht="28.5" x14ac:dyDescent="0.25">
      <c r="A2948" s="25">
        <v>2937</v>
      </c>
      <c r="B2948" s="23"/>
      <c r="C2948" s="51" t="s">
        <v>1083</v>
      </c>
      <c r="D2948" s="23"/>
      <c r="E2948" s="36">
        <f t="shared" si="256"/>
        <v>140</v>
      </c>
      <c r="F2948" s="36" t="s">
        <v>37</v>
      </c>
      <c r="G2948" s="53">
        <v>120</v>
      </c>
      <c r="H2948" s="165">
        <f t="shared" si="254"/>
        <v>16800</v>
      </c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56"/>
    </row>
    <row r="2949" spans="1:22" x14ac:dyDescent="0.25">
      <c r="A2949" s="25">
        <v>2938</v>
      </c>
      <c r="B2949" s="23"/>
      <c r="C2949" s="51" t="s">
        <v>1084</v>
      </c>
      <c r="D2949" s="23"/>
      <c r="E2949" s="36">
        <v>72</v>
      </c>
      <c r="F2949" s="23" t="s">
        <v>567</v>
      </c>
      <c r="G2949" s="53">
        <v>235</v>
      </c>
      <c r="H2949" s="165">
        <f>G2949*E2949</f>
        <v>16920</v>
      </c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  <c r="U2949" s="8"/>
      <c r="V2949" s="56"/>
    </row>
    <row r="2950" spans="1:22" x14ac:dyDescent="0.25">
      <c r="A2950" s="25">
        <v>2939</v>
      </c>
      <c r="B2950" s="23"/>
      <c r="C2950" s="14"/>
      <c r="D2950" s="23"/>
      <c r="E2950" s="84"/>
      <c r="F2950" s="23"/>
      <c r="G2950" s="165"/>
      <c r="H2950" s="165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56"/>
    </row>
    <row r="2951" spans="1:22" ht="30" x14ac:dyDescent="0.25">
      <c r="A2951" s="25">
        <v>2940</v>
      </c>
      <c r="B2951" s="89" t="s">
        <v>222</v>
      </c>
      <c r="C2951" s="90" t="s">
        <v>115</v>
      </c>
      <c r="D2951" s="89" t="s">
        <v>27</v>
      </c>
      <c r="E2951" s="89"/>
      <c r="F2951" s="89"/>
      <c r="G2951" s="163"/>
      <c r="H2951" s="167">
        <v>148720</v>
      </c>
      <c r="I2951" s="89" t="s">
        <v>52</v>
      </c>
      <c r="J2951" s="60">
        <v>1</v>
      </c>
      <c r="K2951" s="60">
        <v>1</v>
      </c>
      <c r="L2951" s="60">
        <v>1</v>
      </c>
      <c r="M2951" s="60">
        <v>1</v>
      </c>
      <c r="N2951" s="60">
        <v>1</v>
      </c>
      <c r="O2951" s="60">
        <v>1</v>
      </c>
      <c r="P2951" s="60">
        <v>1</v>
      </c>
      <c r="Q2951" s="60">
        <v>1</v>
      </c>
      <c r="R2951" s="60">
        <v>1</v>
      </c>
      <c r="S2951" s="60">
        <v>1</v>
      </c>
      <c r="T2951" s="60">
        <v>1</v>
      </c>
      <c r="U2951" s="60">
        <v>1</v>
      </c>
      <c r="V2951" s="56"/>
    </row>
    <row r="2952" spans="1:22" x14ac:dyDescent="0.25">
      <c r="A2952" s="25">
        <v>2941</v>
      </c>
      <c r="B2952" s="23"/>
      <c r="C2952" s="14" t="s">
        <v>1130</v>
      </c>
      <c r="D2952" s="23"/>
      <c r="E2952" s="84"/>
      <c r="F2952" s="23"/>
      <c r="G2952" s="165"/>
      <c r="H2952" s="165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56"/>
    </row>
    <row r="2953" spans="1:22" x14ac:dyDescent="0.25">
      <c r="A2953" s="25">
        <v>2942</v>
      </c>
      <c r="B2953" s="23"/>
      <c r="C2953" s="22" t="s">
        <v>1131</v>
      </c>
      <c r="D2953" s="23"/>
      <c r="E2953" s="67">
        <f>21*16</f>
        <v>336</v>
      </c>
      <c r="F2953" s="67" t="s">
        <v>37</v>
      </c>
      <c r="G2953" s="172">
        <v>120</v>
      </c>
      <c r="H2953" s="165">
        <f>G2953*E2953</f>
        <v>40320</v>
      </c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56"/>
    </row>
    <row r="2954" spans="1:22" x14ac:dyDescent="0.25">
      <c r="A2954" s="25">
        <v>2943</v>
      </c>
      <c r="B2954" s="23"/>
      <c r="C2954" s="22" t="s">
        <v>346</v>
      </c>
      <c r="D2954" s="23"/>
      <c r="E2954" s="67">
        <f t="shared" ref="E2954:E2955" si="257">21*16</f>
        <v>336</v>
      </c>
      <c r="F2954" s="67" t="s">
        <v>37</v>
      </c>
      <c r="G2954" s="172">
        <v>180</v>
      </c>
      <c r="H2954" s="165">
        <f t="shared" ref="H2954:H2955" si="258">G2954*E2954</f>
        <v>60480</v>
      </c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56"/>
    </row>
    <row r="2955" spans="1:22" x14ac:dyDescent="0.25">
      <c r="A2955" s="25">
        <v>2944</v>
      </c>
      <c r="B2955" s="23"/>
      <c r="C2955" s="22" t="s">
        <v>1108</v>
      </c>
      <c r="D2955" s="23"/>
      <c r="E2955" s="67">
        <f t="shared" si="257"/>
        <v>336</v>
      </c>
      <c r="F2955" s="67" t="s">
        <v>37</v>
      </c>
      <c r="G2955" s="172">
        <v>120</v>
      </c>
      <c r="H2955" s="165">
        <f t="shared" si="258"/>
        <v>40320</v>
      </c>
      <c r="I2955" s="72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  <c r="U2955" s="8"/>
      <c r="V2955" s="56"/>
    </row>
    <row r="2956" spans="1:22" x14ac:dyDescent="0.25">
      <c r="A2956" s="25">
        <v>2945</v>
      </c>
      <c r="B2956" s="23"/>
      <c r="C2956" s="79" t="s">
        <v>504</v>
      </c>
      <c r="D2956" s="23"/>
      <c r="E2956" s="67">
        <f>8*4</f>
        <v>32</v>
      </c>
      <c r="F2956" s="23" t="s">
        <v>567</v>
      </c>
      <c r="G2956" s="172">
        <v>237.5</v>
      </c>
      <c r="H2956" s="165">
        <f>G2956*E2956</f>
        <v>7600</v>
      </c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56"/>
    </row>
    <row r="2957" spans="1:22" x14ac:dyDescent="0.25">
      <c r="A2957" s="25">
        <v>2946</v>
      </c>
      <c r="B2957" s="23"/>
      <c r="C2957" s="14"/>
      <c r="D2957" s="23"/>
      <c r="E2957" s="84"/>
      <c r="F2957" s="23"/>
      <c r="G2957" s="165"/>
      <c r="H2957" s="165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56"/>
    </row>
    <row r="2958" spans="1:22" ht="30" x14ac:dyDescent="0.25">
      <c r="A2958" s="25">
        <v>2947</v>
      </c>
      <c r="B2958" s="89" t="s">
        <v>222</v>
      </c>
      <c r="C2958" s="90" t="s">
        <v>99</v>
      </c>
      <c r="D2958" s="89" t="s">
        <v>27</v>
      </c>
      <c r="E2958" s="89"/>
      <c r="F2958" s="89"/>
      <c r="G2958" s="163"/>
      <c r="H2958" s="167">
        <v>436800</v>
      </c>
      <c r="I2958" s="89" t="s">
        <v>52</v>
      </c>
      <c r="J2958" s="60"/>
      <c r="K2958" s="60"/>
      <c r="L2958" s="60"/>
      <c r="M2958" s="60">
        <v>1</v>
      </c>
      <c r="N2958" s="60"/>
      <c r="O2958" s="60"/>
      <c r="P2958" s="60"/>
      <c r="Q2958" s="60"/>
      <c r="R2958" s="60"/>
      <c r="S2958" s="60"/>
      <c r="T2958" s="60"/>
      <c r="U2958" s="60"/>
      <c r="V2958" s="56"/>
    </row>
    <row r="2959" spans="1:22" x14ac:dyDescent="0.25">
      <c r="A2959" s="25">
        <v>2948</v>
      </c>
      <c r="B2959" s="23"/>
      <c r="C2959" s="14" t="s">
        <v>273</v>
      </c>
      <c r="D2959" s="23"/>
      <c r="E2959" s="84"/>
      <c r="F2959" s="23"/>
      <c r="G2959" s="165"/>
      <c r="H2959" s="165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56"/>
    </row>
    <row r="2960" spans="1:22" x14ac:dyDescent="0.25">
      <c r="A2960" s="25">
        <v>2949</v>
      </c>
      <c r="B2960" s="23"/>
      <c r="C2960" s="16" t="s">
        <v>1000</v>
      </c>
      <c r="D2960" s="23"/>
      <c r="E2960" s="84"/>
      <c r="F2960" s="23"/>
      <c r="G2960" s="165"/>
      <c r="H2960" s="165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56"/>
    </row>
    <row r="2961" spans="1:22" x14ac:dyDescent="0.25">
      <c r="A2961" s="25">
        <v>2950</v>
      </c>
      <c r="B2961" s="23"/>
      <c r="C2961" s="129" t="s">
        <v>246</v>
      </c>
      <c r="D2961" s="23"/>
      <c r="E2961" s="114">
        <f>200*4</f>
        <v>800</v>
      </c>
      <c r="F2961" s="114" t="s">
        <v>37</v>
      </c>
      <c r="G2961" s="154">
        <v>120</v>
      </c>
      <c r="H2961" s="165">
        <f>G2961*E2961</f>
        <v>96000</v>
      </c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56"/>
    </row>
    <row r="2962" spans="1:22" x14ac:dyDescent="0.25">
      <c r="A2962" s="25">
        <v>2951</v>
      </c>
      <c r="B2962" s="23"/>
      <c r="C2962" s="129" t="s">
        <v>346</v>
      </c>
      <c r="D2962" s="23"/>
      <c r="E2962" s="114">
        <f t="shared" ref="E2962:E2963" si="259">200*4</f>
        <v>800</v>
      </c>
      <c r="F2962" s="114" t="s">
        <v>37</v>
      </c>
      <c r="G2962" s="154">
        <v>180</v>
      </c>
      <c r="H2962" s="165">
        <f t="shared" ref="H2962:H2963" si="260">G2962*E2962</f>
        <v>144000</v>
      </c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56"/>
    </row>
    <row r="2963" spans="1:22" x14ac:dyDescent="0.25">
      <c r="A2963" s="25">
        <v>2952</v>
      </c>
      <c r="B2963" s="23"/>
      <c r="C2963" s="129" t="s">
        <v>892</v>
      </c>
      <c r="D2963" s="23"/>
      <c r="E2963" s="114">
        <f t="shared" si="259"/>
        <v>800</v>
      </c>
      <c r="F2963" s="114" t="s">
        <v>37</v>
      </c>
      <c r="G2963" s="154">
        <v>120</v>
      </c>
      <c r="H2963" s="165">
        <f t="shared" si="260"/>
        <v>96000</v>
      </c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56"/>
    </row>
    <row r="2964" spans="1:22" x14ac:dyDescent="0.25">
      <c r="A2964" s="25">
        <v>2953</v>
      </c>
      <c r="B2964" s="23"/>
      <c r="C2964" s="16" t="s">
        <v>1001</v>
      </c>
      <c r="D2964" s="23"/>
      <c r="E2964" s="114"/>
      <c r="F2964" s="114"/>
      <c r="G2964" s="154"/>
      <c r="H2964" s="165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56"/>
    </row>
    <row r="2965" spans="1:22" x14ac:dyDescent="0.25">
      <c r="A2965" s="25">
        <v>2954</v>
      </c>
      <c r="B2965" s="23"/>
      <c r="C2965" s="129" t="s">
        <v>246</v>
      </c>
      <c r="D2965" s="23"/>
      <c r="E2965" s="114">
        <f>60*4</f>
        <v>240</v>
      </c>
      <c r="F2965" s="114" t="s">
        <v>37</v>
      </c>
      <c r="G2965" s="154">
        <v>120</v>
      </c>
      <c r="H2965" s="165">
        <f>G2965*E2965</f>
        <v>28800</v>
      </c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56"/>
    </row>
    <row r="2966" spans="1:22" x14ac:dyDescent="0.25">
      <c r="A2966" s="25">
        <v>2955</v>
      </c>
      <c r="B2966" s="23"/>
      <c r="C2966" s="129" t="s">
        <v>346</v>
      </c>
      <c r="D2966" s="23"/>
      <c r="E2966" s="114">
        <f t="shared" ref="E2966:E2967" si="261">60*4</f>
        <v>240</v>
      </c>
      <c r="F2966" s="114" t="s">
        <v>37</v>
      </c>
      <c r="G2966" s="154">
        <v>180</v>
      </c>
      <c r="H2966" s="165">
        <f t="shared" ref="H2966:H2967" si="262">G2966*E2966</f>
        <v>43200</v>
      </c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56"/>
    </row>
    <row r="2967" spans="1:22" x14ac:dyDescent="0.25">
      <c r="A2967" s="25">
        <v>2956</v>
      </c>
      <c r="B2967" s="23"/>
      <c r="C2967" s="129" t="s">
        <v>892</v>
      </c>
      <c r="D2967" s="23"/>
      <c r="E2967" s="114">
        <f t="shared" si="261"/>
        <v>240</v>
      </c>
      <c r="F2967" s="114" t="s">
        <v>37</v>
      </c>
      <c r="G2967" s="154">
        <v>120</v>
      </c>
      <c r="H2967" s="165">
        <f t="shared" si="262"/>
        <v>28800</v>
      </c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56"/>
    </row>
    <row r="2968" spans="1:22" x14ac:dyDescent="0.25">
      <c r="A2968" s="25">
        <v>2957</v>
      </c>
      <c r="B2968" s="23"/>
      <c r="C2968" s="14"/>
      <c r="D2968" s="23"/>
      <c r="E2968" s="84"/>
      <c r="F2968" s="23"/>
      <c r="G2968" s="165"/>
      <c r="H2968" s="165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56"/>
    </row>
    <row r="2969" spans="1:22" ht="30" x14ac:dyDescent="0.25">
      <c r="A2969" s="25">
        <v>2958</v>
      </c>
      <c r="B2969" s="89" t="s">
        <v>222</v>
      </c>
      <c r="C2969" s="90" t="s">
        <v>163</v>
      </c>
      <c r="D2969" s="89" t="s">
        <v>27</v>
      </c>
      <c r="E2969" s="89"/>
      <c r="F2969" s="89"/>
      <c r="G2969" s="163"/>
      <c r="H2969" s="167">
        <v>338000</v>
      </c>
      <c r="I2969" s="89" t="s">
        <v>52</v>
      </c>
      <c r="J2969" s="60">
        <v>1</v>
      </c>
      <c r="K2969" s="60">
        <v>1</v>
      </c>
      <c r="L2969" s="60">
        <v>1</v>
      </c>
      <c r="M2969" s="60">
        <v>1</v>
      </c>
      <c r="N2969" s="60">
        <v>1</v>
      </c>
      <c r="O2969" s="60">
        <v>1</v>
      </c>
      <c r="P2969" s="60">
        <v>1</v>
      </c>
      <c r="Q2969" s="60">
        <v>1</v>
      </c>
      <c r="R2969" s="60">
        <v>1</v>
      </c>
      <c r="S2969" s="60">
        <v>1</v>
      </c>
      <c r="T2969" s="60">
        <v>1</v>
      </c>
      <c r="U2969" s="60">
        <v>1</v>
      </c>
      <c r="V2969" s="56"/>
    </row>
    <row r="2970" spans="1:22" x14ac:dyDescent="0.25">
      <c r="A2970" s="25">
        <v>2959</v>
      </c>
      <c r="B2970" s="23"/>
      <c r="C2970" s="14" t="s">
        <v>54</v>
      </c>
      <c r="D2970" s="23"/>
      <c r="E2970" s="84"/>
      <c r="F2970" s="23"/>
      <c r="G2970" s="165"/>
      <c r="H2970" s="165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  <c r="U2970" s="8"/>
      <c r="V2970" s="56"/>
    </row>
    <row r="2971" spans="1:22" x14ac:dyDescent="0.25">
      <c r="A2971" s="25">
        <v>2960</v>
      </c>
      <c r="B2971" s="23"/>
      <c r="C2971" s="137" t="s">
        <v>1299</v>
      </c>
      <c r="D2971" s="23"/>
      <c r="E2971" s="112">
        <f>100*8</f>
        <v>800</v>
      </c>
      <c r="F2971" s="112" t="s">
        <v>37</v>
      </c>
      <c r="G2971" s="152">
        <v>150</v>
      </c>
      <c r="H2971" s="165">
        <f>G2971*E2971</f>
        <v>120000</v>
      </c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  <c r="U2971" s="8"/>
      <c r="V2971" s="56"/>
    </row>
    <row r="2972" spans="1:22" x14ac:dyDescent="0.25">
      <c r="A2972" s="25">
        <v>2961</v>
      </c>
      <c r="B2972" s="23"/>
      <c r="C2972" s="111" t="s">
        <v>1243</v>
      </c>
      <c r="D2972" s="23"/>
      <c r="E2972" s="112">
        <f>100*8</f>
        <v>800</v>
      </c>
      <c r="F2972" s="112" t="s">
        <v>37</v>
      </c>
      <c r="G2972" s="152">
        <v>220</v>
      </c>
      <c r="H2972" s="165">
        <f t="shared" ref="H2972:H2974" si="263">G2972*E2972</f>
        <v>176000</v>
      </c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  <c r="U2972" s="8"/>
      <c r="V2972" s="56"/>
    </row>
    <row r="2973" spans="1:22" x14ac:dyDescent="0.25">
      <c r="A2973" s="25">
        <v>2962</v>
      </c>
      <c r="B2973" s="23"/>
      <c r="C2973" s="111" t="s">
        <v>1245</v>
      </c>
      <c r="D2973" s="23"/>
      <c r="E2973" s="112">
        <f>3*8</f>
        <v>24</v>
      </c>
      <c r="F2973" s="23" t="s">
        <v>567</v>
      </c>
      <c r="G2973" s="152">
        <v>450</v>
      </c>
      <c r="H2973" s="165">
        <f t="shared" si="263"/>
        <v>10800</v>
      </c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56"/>
    </row>
    <row r="2974" spans="1:22" x14ac:dyDescent="0.25">
      <c r="A2974" s="25">
        <v>2963</v>
      </c>
      <c r="B2974" s="23"/>
      <c r="C2974" s="111" t="s">
        <v>1246</v>
      </c>
      <c r="D2974" s="23"/>
      <c r="E2974" s="112">
        <f>3*8</f>
        <v>24</v>
      </c>
      <c r="F2974" s="23" t="s">
        <v>567</v>
      </c>
      <c r="G2974" s="152">
        <v>1300</v>
      </c>
      <c r="H2974" s="165">
        <f t="shared" si="263"/>
        <v>31200</v>
      </c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56"/>
    </row>
    <row r="2975" spans="1:22" x14ac:dyDescent="0.25">
      <c r="A2975" s="25">
        <v>2964</v>
      </c>
      <c r="B2975" s="23"/>
      <c r="C2975" s="14"/>
      <c r="D2975" s="23"/>
      <c r="E2975" s="84"/>
      <c r="F2975" s="23"/>
      <c r="G2975" s="165"/>
      <c r="H2975" s="165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56"/>
    </row>
    <row r="2976" spans="1:22" ht="45" x14ac:dyDescent="0.25">
      <c r="A2976" s="25">
        <v>2965</v>
      </c>
      <c r="B2976" s="89" t="s">
        <v>222</v>
      </c>
      <c r="C2976" s="90" t="s">
        <v>113</v>
      </c>
      <c r="D2976" s="89" t="s">
        <v>27</v>
      </c>
      <c r="E2976" s="89"/>
      <c r="F2976" s="89"/>
      <c r="G2976" s="163"/>
      <c r="H2976" s="167">
        <v>91200</v>
      </c>
      <c r="I2976" s="89" t="s">
        <v>52</v>
      </c>
      <c r="J2976" s="60">
        <v>1</v>
      </c>
      <c r="K2976" s="60">
        <v>1</v>
      </c>
      <c r="L2976" s="60">
        <v>1</v>
      </c>
      <c r="M2976" s="60">
        <v>1</v>
      </c>
      <c r="N2976" s="60">
        <v>1</v>
      </c>
      <c r="O2976" s="60">
        <v>1</v>
      </c>
      <c r="P2976" s="60">
        <v>1</v>
      </c>
      <c r="Q2976" s="60">
        <v>1</v>
      </c>
      <c r="R2976" s="60">
        <v>1</v>
      </c>
      <c r="S2976" s="60">
        <v>1</v>
      </c>
      <c r="T2976" s="60">
        <v>1</v>
      </c>
      <c r="U2976" s="60">
        <v>1</v>
      </c>
      <c r="V2976" s="56"/>
    </row>
    <row r="2977" spans="1:22" ht="28.5" x14ac:dyDescent="0.25">
      <c r="A2977" s="25">
        <v>2966</v>
      </c>
      <c r="B2977" s="23"/>
      <c r="C2977" s="14" t="s">
        <v>705</v>
      </c>
      <c r="D2977" s="23"/>
      <c r="E2977" s="84">
        <v>300</v>
      </c>
      <c r="F2977" s="23" t="s">
        <v>37</v>
      </c>
      <c r="G2977" s="165">
        <v>120</v>
      </c>
      <c r="H2977" s="165">
        <v>36000</v>
      </c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  <c r="U2977" s="8"/>
      <c r="V2977" s="56"/>
    </row>
    <row r="2978" spans="1:22" ht="28.5" x14ac:dyDescent="0.25">
      <c r="A2978" s="25">
        <v>2967</v>
      </c>
      <c r="B2978" s="23"/>
      <c r="C2978" s="14" t="s">
        <v>706</v>
      </c>
      <c r="D2978" s="23"/>
      <c r="E2978" s="84">
        <v>300</v>
      </c>
      <c r="F2978" s="23" t="s">
        <v>37</v>
      </c>
      <c r="G2978" s="165">
        <v>120</v>
      </c>
      <c r="H2978" s="165">
        <v>36000</v>
      </c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56"/>
    </row>
    <row r="2979" spans="1:22" ht="28.5" x14ac:dyDescent="0.25">
      <c r="A2979" s="25">
        <v>2968</v>
      </c>
      <c r="B2979" s="23"/>
      <c r="C2979" s="14" t="s">
        <v>707</v>
      </c>
      <c r="D2979" s="23"/>
      <c r="E2979" s="84">
        <v>80</v>
      </c>
      <c r="F2979" s="23" t="s">
        <v>37</v>
      </c>
      <c r="G2979" s="165">
        <v>120</v>
      </c>
      <c r="H2979" s="165">
        <v>9600</v>
      </c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  <c r="U2979" s="8"/>
      <c r="V2979" s="56"/>
    </row>
    <row r="2980" spans="1:22" ht="28.5" x14ac:dyDescent="0.25">
      <c r="A2980" s="25">
        <v>2969</v>
      </c>
      <c r="B2980" s="23"/>
      <c r="C2980" s="14" t="s">
        <v>708</v>
      </c>
      <c r="D2980" s="23"/>
      <c r="E2980" s="84">
        <v>80</v>
      </c>
      <c r="F2980" s="23" t="s">
        <v>37</v>
      </c>
      <c r="G2980" s="165">
        <v>120</v>
      </c>
      <c r="H2980" s="165">
        <v>9600</v>
      </c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56"/>
    </row>
    <row r="2981" spans="1:22" x14ac:dyDescent="0.25">
      <c r="A2981" s="25">
        <v>2970</v>
      </c>
      <c r="B2981" s="23"/>
      <c r="C2981" s="14"/>
      <c r="D2981" s="23"/>
      <c r="E2981" s="84"/>
      <c r="F2981" s="23"/>
      <c r="G2981" s="165"/>
      <c r="H2981" s="165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  <c r="U2981" s="8"/>
      <c r="V2981" s="56"/>
    </row>
    <row r="2982" spans="1:22" ht="26.25" customHeight="1" x14ac:dyDescent="0.25">
      <c r="A2982" s="25">
        <v>2971</v>
      </c>
      <c r="B2982" s="89" t="s">
        <v>222</v>
      </c>
      <c r="C2982" s="90" t="s">
        <v>188</v>
      </c>
      <c r="D2982" s="89" t="s">
        <v>27</v>
      </c>
      <c r="E2982" s="89"/>
      <c r="F2982" s="89"/>
      <c r="G2982" s="163"/>
      <c r="H2982" s="167">
        <v>2700000</v>
      </c>
      <c r="I2982" s="89" t="s">
        <v>52</v>
      </c>
      <c r="J2982" s="60">
        <v>1</v>
      </c>
      <c r="K2982" s="60">
        <v>3</v>
      </c>
      <c r="L2982" s="60">
        <v>1</v>
      </c>
      <c r="M2982" s="60">
        <v>1</v>
      </c>
      <c r="N2982" s="60">
        <v>1</v>
      </c>
      <c r="O2982" s="60">
        <v>1</v>
      </c>
      <c r="P2982" s="60">
        <v>1</v>
      </c>
      <c r="Q2982" s="60">
        <v>1</v>
      </c>
      <c r="R2982" s="60">
        <v>1</v>
      </c>
      <c r="S2982" s="60">
        <v>1</v>
      </c>
      <c r="T2982" s="60">
        <v>1</v>
      </c>
      <c r="U2982" s="60">
        <v>1</v>
      </c>
      <c r="V2982" s="56"/>
    </row>
    <row r="2983" spans="1:22" x14ac:dyDescent="0.25">
      <c r="A2983" s="25">
        <v>2972</v>
      </c>
      <c r="B2983" s="23"/>
      <c r="C2983" s="14" t="s">
        <v>1282</v>
      </c>
      <c r="D2983" s="23"/>
      <c r="E2983" s="84"/>
      <c r="F2983" s="23"/>
      <c r="G2983" s="165"/>
      <c r="H2983" s="165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  <c r="U2983" s="8"/>
      <c r="V2983" s="56"/>
    </row>
    <row r="2984" spans="1:22" x14ac:dyDescent="0.25">
      <c r="A2984" s="25">
        <v>2973</v>
      </c>
      <c r="B2984" s="23"/>
      <c r="C2984" s="111" t="s">
        <v>1242</v>
      </c>
      <c r="D2984" s="23"/>
      <c r="E2984" s="112">
        <f>100*27</f>
        <v>2700</v>
      </c>
      <c r="F2984" s="112" t="s">
        <v>37</v>
      </c>
      <c r="G2984" s="113">
        <v>250</v>
      </c>
      <c r="H2984" s="165">
        <f>G2984*E2984</f>
        <v>675000</v>
      </c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  <c r="U2984" s="8"/>
      <c r="V2984" s="56"/>
    </row>
    <row r="2985" spans="1:22" x14ac:dyDescent="0.25">
      <c r="A2985" s="25">
        <v>2974</v>
      </c>
      <c r="B2985" s="23"/>
      <c r="C2985" s="111" t="s">
        <v>1243</v>
      </c>
      <c r="D2985" s="23"/>
      <c r="E2985" s="112">
        <f t="shared" ref="E2985:E2986" si="264">100*27</f>
        <v>2700</v>
      </c>
      <c r="F2985" s="112" t="s">
        <v>37</v>
      </c>
      <c r="G2985" s="113">
        <v>220</v>
      </c>
      <c r="H2985" s="165">
        <f t="shared" ref="H2985:H2989" si="265">G2985*E2985</f>
        <v>594000</v>
      </c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56"/>
    </row>
    <row r="2986" spans="1:22" x14ac:dyDescent="0.25">
      <c r="A2986" s="25">
        <v>2975</v>
      </c>
      <c r="B2986" s="23"/>
      <c r="C2986" s="111" t="s">
        <v>1244</v>
      </c>
      <c r="D2986" s="23"/>
      <c r="E2986" s="112">
        <f t="shared" si="264"/>
        <v>2700</v>
      </c>
      <c r="F2986" s="112" t="s">
        <v>37</v>
      </c>
      <c r="G2986" s="113">
        <v>320</v>
      </c>
      <c r="H2986" s="165">
        <f t="shared" si="265"/>
        <v>864000</v>
      </c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56"/>
    </row>
    <row r="2987" spans="1:22" x14ac:dyDescent="0.25">
      <c r="A2987" s="25">
        <v>2976</v>
      </c>
      <c r="B2987" s="23"/>
      <c r="C2987" s="111" t="s">
        <v>747</v>
      </c>
      <c r="D2987" s="23"/>
      <c r="E2987" s="112">
        <f>5*27</f>
        <v>135</v>
      </c>
      <c r="F2987" s="23" t="s">
        <v>567</v>
      </c>
      <c r="G2987" s="113">
        <v>450</v>
      </c>
      <c r="H2987" s="165">
        <f t="shared" si="265"/>
        <v>60750</v>
      </c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  <c r="U2987" s="8"/>
      <c r="V2987" s="56"/>
    </row>
    <row r="2988" spans="1:22" x14ac:dyDescent="0.25">
      <c r="A2988" s="25">
        <v>2977</v>
      </c>
      <c r="B2988" s="23"/>
      <c r="C2988" s="111" t="s">
        <v>1250</v>
      </c>
      <c r="D2988" s="23"/>
      <c r="E2988" s="112">
        <f>6*27</f>
        <v>162</v>
      </c>
      <c r="F2988" s="8" t="s">
        <v>152</v>
      </c>
      <c r="G2988" s="113">
        <v>2000</v>
      </c>
      <c r="H2988" s="165">
        <f t="shared" si="265"/>
        <v>324000</v>
      </c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56"/>
    </row>
    <row r="2989" spans="1:22" x14ac:dyDescent="0.25">
      <c r="A2989" s="25">
        <v>2978</v>
      </c>
      <c r="B2989" s="23"/>
      <c r="C2989" s="111" t="s">
        <v>1246</v>
      </c>
      <c r="D2989" s="23"/>
      <c r="E2989" s="112">
        <f>5*27</f>
        <v>135</v>
      </c>
      <c r="F2989" s="23" t="s">
        <v>567</v>
      </c>
      <c r="G2989" s="113">
        <v>1350</v>
      </c>
      <c r="H2989" s="165">
        <f t="shared" si="265"/>
        <v>182250</v>
      </c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56"/>
    </row>
    <row r="2990" spans="1:22" x14ac:dyDescent="0.25">
      <c r="A2990" s="25">
        <v>2979</v>
      </c>
      <c r="B2990" s="23"/>
      <c r="C2990" s="14"/>
      <c r="D2990" s="23"/>
      <c r="E2990" s="84"/>
      <c r="F2990" s="23"/>
      <c r="G2990" s="165"/>
      <c r="H2990" s="165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56"/>
    </row>
    <row r="2991" spans="1:22" ht="30" x14ac:dyDescent="0.25">
      <c r="A2991" s="25">
        <v>2980</v>
      </c>
      <c r="B2991" s="89" t="s">
        <v>222</v>
      </c>
      <c r="C2991" s="90" t="s">
        <v>109</v>
      </c>
      <c r="D2991" s="89" t="s">
        <v>27</v>
      </c>
      <c r="E2991" s="89"/>
      <c r="F2991" s="89"/>
      <c r="G2991" s="163"/>
      <c r="H2991" s="167">
        <v>88200</v>
      </c>
      <c r="I2991" s="89" t="s">
        <v>52</v>
      </c>
      <c r="J2991" s="60">
        <v>1</v>
      </c>
      <c r="K2991" s="60"/>
      <c r="L2991" s="60"/>
      <c r="M2991" s="60"/>
      <c r="N2991" s="60"/>
      <c r="O2991" s="60"/>
      <c r="P2991" s="60"/>
      <c r="Q2991" s="60"/>
      <c r="R2991" s="60"/>
      <c r="S2991" s="60"/>
      <c r="T2991" s="60"/>
      <c r="U2991" s="60"/>
      <c r="V2991" s="56"/>
    </row>
    <row r="2992" spans="1:22" x14ac:dyDescent="0.25">
      <c r="A2992" s="25">
        <v>2981</v>
      </c>
      <c r="B2992" s="23"/>
      <c r="C2992" s="14" t="s">
        <v>1437</v>
      </c>
      <c r="D2992" s="23"/>
      <c r="E2992" s="84"/>
      <c r="F2992" s="23"/>
      <c r="G2992" s="165"/>
      <c r="H2992" s="165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56"/>
    </row>
    <row r="2993" spans="1:22" ht="28.5" x14ac:dyDescent="0.25">
      <c r="A2993" s="25">
        <v>2982</v>
      </c>
      <c r="B2993" s="23"/>
      <c r="C2993" s="41" t="s">
        <v>956</v>
      </c>
      <c r="D2993" s="23"/>
      <c r="E2993" s="29">
        <f>6*35</f>
        <v>210</v>
      </c>
      <c r="F2993" s="112" t="s">
        <v>37</v>
      </c>
      <c r="G2993" s="197">
        <v>120</v>
      </c>
      <c r="H2993" s="44">
        <f>G2993*E2993</f>
        <v>25200</v>
      </c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56"/>
    </row>
    <row r="2994" spans="1:22" ht="28.5" x14ac:dyDescent="0.25">
      <c r="A2994" s="25">
        <v>2983</v>
      </c>
      <c r="B2994" s="23"/>
      <c r="C2994" s="78" t="s">
        <v>957</v>
      </c>
      <c r="D2994" s="23"/>
      <c r="E2994" s="29">
        <f t="shared" ref="E2994:E2995" si="266">6*35</f>
        <v>210</v>
      </c>
      <c r="F2994" s="112" t="s">
        <v>37</v>
      </c>
      <c r="G2994" s="197">
        <v>180</v>
      </c>
      <c r="H2994" s="44">
        <f t="shared" ref="H2994:H2995" si="267">G2994*E2994</f>
        <v>37800</v>
      </c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56"/>
    </row>
    <row r="2995" spans="1:22" ht="28.5" x14ac:dyDescent="0.25">
      <c r="A2995" s="25">
        <v>2984</v>
      </c>
      <c r="B2995" s="23"/>
      <c r="C2995" s="78" t="s">
        <v>958</v>
      </c>
      <c r="D2995" s="23"/>
      <c r="E2995" s="29">
        <f t="shared" si="266"/>
        <v>210</v>
      </c>
      <c r="F2995" s="112" t="s">
        <v>37</v>
      </c>
      <c r="G2995" s="197">
        <v>120</v>
      </c>
      <c r="H2995" s="44">
        <f t="shared" si="267"/>
        <v>25200</v>
      </c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56"/>
    </row>
    <row r="2996" spans="1:22" x14ac:dyDescent="0.25">
      <c r="A2996" s="25">
        <v>2985</v>
      </c>
      <c r="B2996" s="23"/>
      <c r="C2996" s="14"/>
      <c r="D2996" s="23"/>
      <c r="E2996" s="84"/>
      <c r="F2996" s="23"/>
      <c r="G2996" s="165"/>
      <c r="H2996" s="165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  <c r="U2996" s="8"/>
      <c r="V2996" s="56"/>
    </row>
    <row r="2997" spans="1:22" ht="30" x14ac:dyDescent="0.25">
      <c r="A2997" s="25">
        <v>2986</v>
      </c>
      <c r="B2997" s="89" t="s">
        <v>222</v>
      </c>
      <c r="C2997" s="90" t="s">
        <v>1283</v>
      </c>
      <c r="D2997" s="89" t="s">
        <v>27</v>
      </c>
      <c r="E2997" s="89"/>
      <c r="F2997" s="89"/>
      <c r="G2997" s="163"/>
      <c r="H2997" s="167">
        <v>94920</v>
      </c>
      <c r="I2997" s="89" t="s">
        <v>52</v>
      </c>
      <c r="J2997" s="60"/>
      <c r="K2997" s="60"/>
      <c r="L2997" s="60"/>
      <c r="M2997" s="60"/>
      <c r="N2997" s="60"/>
      <c r="O2997" s="60"/>
      <c r="P2997" s="60"/>
      <c r="Q2997" s="60"/>
      <c r="R2997" s="60"/>
      <c r="S2997" s="60"/>
      <c r="T2997" s="60"/>
      <c r="U2997" s="60"/>
      <c r="V2997" s="56"/>
    </row>
    <row r="2998" spans="1:22" x14ac:dyDescent="0.25">
      <c r="A2998" s="25">
        <v>2987</v>
      </c>
      <c r="B2998" s="23"/>
      <c r="C2998" s="14" t="s">
        <v>1284</v>
      </c>
      <c r="D2998" s="23"/>
      <c r="E2998" s="84"/>
      <c r="F2998" s="23"/>
      <c r="G2998" s="165"/>
      <c r="H2998" s="165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  <c r="U2998" s="8"/>
      <c r="V2998" s="56"/>
    </row>
    <row r="2999" spans="1:22" x14ac:dyDescent="0.25">
      <c r="A2999" s="25">
        <v>2988</v>
      </c>
      <c r="B2999" s="23"/>
      <c r="C2999" s="14" t="s">
        <v>263</v>
      </c>
      <c r="D2999" s="23"/>
      <c r="E2999" s="33">
        <f>6*24</f>
        <v>144</v>
      </c>
      <c r="F2999" s="33" t="s">
        <v>37</v>
      </c>
      <c r="G2999" s="15">
        <v>150</v>
      </c>
      <c r="H2999" s="165">
        <f>G2999*E2999</f>
        <v>21600</v>
      </c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56"/>
    </row>
    <row r="3000" spans="1:22" x14ac:dyDescent="0.25">
      <c r="A3000" s="25">
        <v>2989</v>
      </c>
      <c r="B3000" s="23"/>
      <c r="C3000" s="14" t="s">
        <v>247</v>
      </c>
      <c r="D3000" s="23"/>
      <c r="E3000" s="33">
        <f t="shared" ref="E3000:E3002" si="268">6*24</f>
        <v>144</v>
      </c>
      <c r="F3000" s="33" t="s">
        <v>37</v>
      </c>
      <c r="G3000" s="15">
        <v>180</v>
      </c>
      <c r="H3000" s="165">
        <f t="shared" ref="H3000:H3002" si="269">G3000*E3000</f>
        <v>25920</v>
      </c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56"/>
    </row>
    <row r="3001" spans="1:22" x14ac:dyDescent="0.25">
      <c r="A3001" s="25">
        <v>2990</v>
      </c>
      <c r="B3001" s="23"/>
      <c r="C3001" s="14" t="s">
        <v>302</v>
      </c>
      <c r="D3001" s="23"/>
      <c r="E3001" s="33">
        <f t="shared" si="268"/>
        <v>144</v>
      </c>
      <c r="F3001" s="33" t="s">
        <v>37</v>
      </c>
      <c r="G3001" s="15">
        <v>120</v>
      </c>
      <c r="H3001" s="165">
        <f t="shared" si="269"/>
        <v>17280</v>
      </c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56"/>
    </row>
    <row r="3002" spans="1:22" x14ac:dyDescent="0.25">
      <c r="A3002" s="25">
        <v>2991</v>
      </c>
      <c r="B3002" s="23"/>
      <c r="C3002" s="16" t="s">
        <v>502</v>
      </c>
      <c r="D3002" s="23"/>
      <c r="E3002" s="33">
        <f t="shared" si="268"/>
        <v>144</v>
      </c>
      <c r="F3002" s="33" t="s">
        <v>37</v>
      </c>
      <c r="G3002" s="17">
        <v>180</v>
      </c>
      <c r="H3002" s="165">
        <f t="shared" si="269"/>
        <v>25920</v>
      </c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56"/>
    </row>
    <row r="3003" spans="1:22" x14ac:dyDescent="0.25">
      <c r="A3003" s="25">
        <v>2992</v>
      </c>
      <c r="B3003" s="23"/>
      <c r="C3003" s="16" t="s">
        <v>504</v>
      </c>
      <c r="D3003" s="23"/>
      <c r="E3003" s="33">
        <v>10</v>
      </c>
      <c r="F3003" s="36" t="s">
        <v>567</v>
      </c>
      <c r="G3003" s="17">
        <v>420</v>
      </c>
      <c r="H3003" s="165">
        <f>G3003*E3003</f>
        <v>4200</v>
      </c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56"/>
    </row>
    <row r="3004" spans="1:22" x14ac:dyDescent="0.25">
      <c r="A3004" s="25">
        <v>2993</v>
      </c>
      <c r="B3004" s="23"/>
      <c r="C3004" s="14"/>
      <c r="D3004" s="23"/>
      <c r="E3004" s="84"/>
      <c r="F3004" s="23"/>
      <c r="G3004" s="165"/>
      <c r="H3004" s="165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56"/>
    </row>
    <row r="3005" spans="1:22" ht="30" x14ac:dyDescent="0.25">
      <c r="A3005" s="25">
        <v>2994</v>
      </c>
      <c r="B3005" s="89" t="s">
        <v>222</v>
      </c>
      <c r="C3005" s="90" t="s">
        <v>147</v>
      </c>
      <c r="D3005" s="89" t="s">
        <v>27</v>
      </c>
      <c r="E3005" s="89"/>
      <c r="F3005" s="89"/>
      <c r="G3005" s="163"/>
      <c r="H3005" s="167">
        <v>9918000</v>
      </c>
      <c r="I3005" s="89" t="s">
        <v>52</v>
      </c>
      <c r="J3005" s="60">
        <v>1</v>
      </c>
      <c r="K3005" s="60">
        <v>3</v>
      </c>
      <c r="L3005" s="60">
        <v>1</v>
      </c>
      <c r="M3005" s="60">
        <v>1</v>
      </c>
      <c r="N3005" s="60">
        <v>1</v>
      </c>
      <c r="O3005" s="60">
        <v>1</v>
      </c>
      <c r="P3005" s="60">
        <v>1</v>
      </c>
      <c r="Q3005" s="60">
        <v>1</v>
      </c>
      <c r="R3005" s="60">
        <v>1</v>
      </c>
      <c r="S3005" s="60">
        <v>1</v>
      </c>
      <c r="T3005" s="60">
        <v>1</v>
      </c>
      <c r="U3005" s="60">
        <v>1</v>
      </c>
      <c r="V3005" s="56"/>
    </row>
    <row r="3006" spans="1:22" x14ac:dyDescent="0.25">
      <c r="A3006" s="25">
        <v>2995</v>
      </c>
      <c r="B3006" s="23"/>
      <c r="C3006" s="14" t="s">
        <v>1288</v>
      </c>
      <c r="D3006" s="23"/>
      <c r="E3006" s="84"/>
      <c r="F3006" s="23"/>
      <c r="G3006" s="165"/>
      <c r="H3006" s="165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56"/>
    </row>
    <row r="3007" spans="1:22" x14ac:dyDescent="0.25">
      <c r="A3007" s="25">
        <v>2996</v>
      </c>
      <c r="B3007" s="23"/>
      <c r="C3007" s="111" t="s">
        <v>1285</v>
      </c>
      <c r="D3007" s="23"/>
      <c r="E3007" s="112">
        <f>300*35</f>
        <v>10500</v>
      </c>
      <c r="F3007" s="112" t="s">
        <v>37</v>
      </c>
      <c r="G3007" s="113">
        <v>240</v>
      </c>
      <c r="H3007" s="165">
        <f>G3007*E3007</f>
        <v>2520000</v>
      </c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56"/>
    </row>
    <row r="3008" spans="1:22" x14ac:dyDescent="0.25">
      <c r="A3008" s="25">
        <v>2997</v>
      </c>
      <c r="B3008" s="23"/>
      <c r="C3008" s="111" t="s">
        <v>1286</v>
      </c>
      <c r="D3008" s="23"/>
      <c r="E3008" s="112">
        <f t="shared" ref="E3008:E3009" si="270">300*35</f>
        <v>10500</v>
      </c>
      <c r="F3008" s="112" t="s">
        <v>37</v>
      </c>
      <c r="G3008" s="113">
        <v>360</v>
      </c>
      <c r="H3008" s="165">
        <f t="shared" ref="H3008:H3011" si="271">G3008*E3008</f>
        <v>3780000</v>
      </c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  <c r="U3008" s="8"/>
      <c r="V3008" s="56"/>
    </row>
    <row r="3009" spans="1:22" x14ac:dyDescent="0.25">
      <c r="A3009" s="25">
        <v>2998</v>
      </c>
      <c r="B3009" s="23"/>
      <c r="C3009" s="111" t="s">
        <v>1287</v>
      </c>
      <c r="D3009" s="23"/>
      <c r="E3009" s="112">
        <f t="shared" si="270"/>
        <v>10500</v>
      </c>
      <c r="F3009" s="112" t="s">
        <v>37</v>
      </c>
      <c r="G3009" s="113">
        <v>240</v>
      </c>
      <c r="H3009" s="165">
        <f t="shared" si="271"/>
        <v>2520000</v>
      </c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  <c r="U3009" s="8"/>
      <c r="V3009" s="56"/>
    </row>
    <row r="3010" spans="1:22" x14ac:dyDescent="0.25">
      <c r="A3010" s="25">
        <v>2999</v>
      </c>
      <c r="B3010" s="23"/>
      <c r="C3010" s="111" t="s">
        <v>747</v>
      </c>
      <c r="D3010" s="23"/>
      <c r="E3010" s="112">
        <f>30*35</f>
        <v>1050</v>
      </c>
      <c r="F3010" s="23" t="s">
        <v>567</v>
      </c>
      <c r="G3010" s="113">
        <v>450</v>
      </c>
      <c r="H3010" s="165">
        <f t="shared" si="271"/>
        <v>472500</v>
      </c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  <c r="U3010" s="8"/>
      <c r="V3010" s="56"/>
    </row>
    <row r="3011" spans="1:22" x14ac:dyDescent="0.25">
      <c r="A3011" s="25">
        <v>3000</v>
      </c>
      <c r="B3011" s="23"/>
      <c r="C3011" s="111" t="s">
        <v>1246</v>
      </c>
      <c r="D3011" s="23"/>
      <c r="E3011" s="112">
        <f>4*35</f>
        <v>140</v>
      </c>
      <c r="F3011" s="23" t="s">
        <v>567</v>
      </c>
      <c r="G3011" s="113">
        <v>1125</v>
      </c>
      <c r="H3011" s="165">
        <f t="shared" si="271"/>
        <v>157500</v>
      </c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56"/>
    </row>
    <row r="3012" spans="1:22" x14ac:dyDescent="0.25">
      <c r="A3012" s="25">
        <v>3001</v>
      </c>
      <c r="B3012" s="23"/>
      <c r="C3012" s="14" t="s">
        <v>1052</v>
      </c>
      <c r="D3012" s="23"/>
      <c r="E3012" s="112"/>
      <c r="F3012" s="112"/>
      <c r="G3012" s="113"/>
      <c r="H3012" s="165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56"/>
    </row>
    <row r="3013" spans="1:22" x14ac:dyDescent="0.25">
      <c r="A3013" s="25">
        <v>3002</v>
      </c>
      <c r="B3013" s="23"/>
      <c r="C3013" s="137" t="s">
        <v>1242</v>
      </c>
      <c r="D3013" s="23"/>
      <c r="E3013" s="112">
        <v>250</v>
      </c>
      <c r="F3013" s="112" t="s">
        <v>37</v>
      </c>
      <c r="G3013" s="113">
        <v>250</v>
      </c>
      <c r="H3013" s="165">
        <f t="shared" ref="H3013:H3018" si="272">G3013*E3013</f>
        <v>62500</v>
      </c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  <c r="U3013" s="8"/>
      <c r="V3013" s="56"/>
    </row>
    <row r="3014" spans="1:22" x14ac:dyDescent="0.25">
      <c r="A3014" s="25">
        <v>3003</v>
      </c>
      <c r="B3014" s="23"/>
      <c r="C3014" s="111" t="s">
        <v>1243</v>
      </c>
      <c r="D3014" s="23"/>
      <c r="E3014" s="112">
        <v>250</v>
      </c>
      <c r="F3014" s="112" t="s">
        <v>37</v>
      </c>
      <c r="G3014" s="113">
        <v>220</v>
      </c>
      <c r="H3014" s="165">
        <f t="shared" si="272"/>
        <v>55000</v>
      </c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56"/>
    </row>
    <row r="3015" spans="1:22" x14ac:dyDescent="0.25">
      <c r="A3015" s="25">
        <v>3004</v>
      </c>
      <c r="B3015" s="23"/>
      <c r="C3015" s="111" t="s">
        <v>1244</v>
      </c>
      <c r="D3015" s="23"/>
      <c r="E3015" s="112">
        <v>250</v>
      </c>
      <c r="F3015" s="112" t="s">
        <v>37</v>
      </c>
      <c r="G3015" s="113">
        <v>400</v>
      </c>
      <c r="H3015" s="165">
        <f t="shared" si="272"/>
        <v>100000</v>
      </c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56"/>
    </row>
    <row r="3016" spans="1:22" x14ac:dyDescent="0.25">
      <c r="A3016" s="25">
        <v>3005</v>
      </c>
      <c r="B3016" s="23"/>
      <c r="C3016" s="111" t="s">
        <v>1245</v>
      </c>
      <c r="D3016" s="23"/>
      <c r="E3016" s="112">
        <v>50</v>
      </c>
      <c r="F3016" s="23" t="s">
        <v>567</v>
      </c>
      <c r="G3016" s="113">
        <v>450</v>
      </c>
      <c r="H3016" s="165">
        <f t="shared" si="272"/>
        <v>22500</v>
      </c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56"/>
    </row>
    <row r="3017" spans="1:22" x14ac:dyDescent="0.25">
      <c r="A3017" s="25">
        <v>3006</v>
      </c>
      <c r="B3017" s="23"/>
      <c r="C3017" s="111" t="s">
        <v>1246</v>
      </c>
      <c r="D3017" s="23"/>
      <c r="E3017" s="112">
        <v>40</v>
      </c>
      <c r="F3017" s="23" t="s">
        <v>567</v>
      </c>
      <c r="G3017" s="113">
        <v>1200</v>
      </c>
      <c r="H3017" s="165">
        <f t="shared" si="272"/>
        <v>48000</v>
      </c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  <c r="U3017" s="8"/>
      <c r="V3017" s="56"/>
    </row>
    <row r="3018" spans="1:22" x14ac:dyDescent="0.25">
      <c r="A3018" s="25">
        <v>3007</v>
      </c>
      <c r="B3018" s="23"/>
      <c r="C3018" s="111" t="s">
        <v>1250</v>
      </c>
      <c r="D3018" s="23"/>
      <c r="E3018" s="112">
        <v>100</v>
      </c>
      <c r="F3018" s="8" t="s">
        <v>152</v>
      </c>
      <c r="G3018" s="113">
        <v>1800</v>
      </c>
      <c r="H3018" s="165">
        <f t="shared" si="272"/>
        <v>180000</v>
      </c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  <c r="U3018" s="8"/>
      <c r="V3018" s="56"/>
    </row>
    <row r="3019" spans="1:22" x14ac:dyDescent="0.25">
      <c r="A3019" s="25">
        <v>3008</v>
      </c>
      <c r="B3019" s="23"/>
      <c r="C3019" s="14"/>
      <c r="D3019" s="23"/>
      <c r="E3019" s="84"/>
      <c r="F3019" s="23"/>
      <c r="G3019" s="165"/>
      <c r="H3019" s="165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56"/>
    </row>
    <row r="3020" spans="1:22" ht="30" x14ac:dyDescent="0.25">
      <c r="A3020" s="25">
        <v>3009</v>
      </c>
      <c r="B3020" s="89" t="s">
        <v>222</v>
      </c>
      <c r="C3020" s="90" t="s">
        <v>224</v>
      </c>
      <c r="D3020" s="89" t="s">
        <v>27</v>
      </c>
      <c r="E3020" s="89"/>
      <c r="F3020" s="89"/>
      <c r="G3020" s="163"/>
      <c r="H3020" s="167">
        <v>200000</v>
      </c>
      <c r="I3020" s="89" t="s">
        <v>52</v>
      </c>
      <c r="J3020" s="60"/>
      <c r="K3020" s="60"/>
      <c r="L3020" s="60"/>
      <c r="M3020" s="60"/>
      <c r="N3020" s="60"/>
      <c r="O3020" s="60"/>
      <c r="P3020" s="60"/>
      <c r="Q3020" s="60"/>
      <c r="R3020" s="60"/>
      <c r="S3020" s="60">
        <v>1</v>
      </c>
      <c r="T3020" s="60"/>
      <c r="U3020" s="60"/>
      <c r="V3020" s="56"/>
    </row>
    <row r="3021" spans="1:22" x14ac:dyDescent="0.25">
      <c r="A3021" s="25">
        <v>3010</v>
      </c>
      <c r="B3021" s="23"/>
      <c r="C3021" s="14" t="s">
        <v>225</v>
      </c>
      <c r="D3021" s="23"/>
      <c r="E3021" s="84"/>
      <c r="F3021" s="23"/>
      <c r="G3021" s="165"/>
      <c r="H3021" s="165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  <c r="U3021" s="8"/>
      <c r="V3021" s="56"/>
    </row>
    <row r="3022" spans="1:22" x14ac:dyDescent="0.25">
      <c r="A3022" s="25">
        <v>3011</v>
      </c>
      <c r="B3022" s="23"/>
      <c r="C3022" s="111" t="s">
        <v>1242</v>
      </c>
      <c r="D3022" s="23"/>
      <c r="E3022" s="112">
        <v>200</v>
      </c>
      <c r="F3022" s="112" t="s">
        <v>37</v>
      </c>
      <c r="G3022" s="113">
        <v>250</v>
      </c>
      <c r="H3022" s="165">
        <f>G3022*E3022</f>
        <v>50000</v>
      </c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56"/>
    </row>
    <row r="3023" spans="1:22" x14ac:dyDescent="0.25">
      <c r="A3023" s="25">
        <v>3012</v>
      </c>
      <c r="B3023" s="23"/>
      <c r="C3023" s="111" t="s">
        <v>1243</v>
      </c>
      <c r="D3023" s="23"/>
      <c r="E3023" s="112">
        <v>200</v>
      </c>
      <c r="F3023" s="112" t="s">
        <v>37</v>
      </c>
      <c r="G3023" s="113">
        <v>220</v>
      </c>
      <c r="H3023" s="165">
        <f>G3023*E3023</f>
        <v>44000</v>
      </c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56"/>
    </row>
    <row r="3024" spans="1:22" x14ac:dyDescent="0.25">
      <c r="A3024" s="25">
        <v>3013</v>
      </c>
      <c r="B3024" s="23"/>
      <c r="C3024" s="111" t="s">
        <v>1244</v>
      </c>
      <c r="D3024" s="23"/>
      <c r="E3024" s="112">
        <v>200</v>
      </c>
      <c r="F3024" s="112" t="s">
        <v>37</v>
      </c>
      <c r="G3024" s="113">
        <v>350</v>
      </c>
      <c r="H3024" s="165">
        <f t="shared" ref="H3024:H3027" si="273">G3024*E3024</f>
        <v>70000</v>
      </c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56"/>
    </row>
    <row r="3025" spans="1:22" x14ac:dyDescent="0.25">
      <c r="A3025" s="25">
        <v>3014</v>
      </c>
      <c r="B3025" s="23"/>
      <c r="C3025" s="111" t="s">
        <v>747</v>
      </c>
      <c r="D3025" s="23"/>
      <c r="E3025" s="112">
        <v>12</v>
      </c>
      <c r="F3025" s="23" t="s">
        <v>567</v>
      </c>
      <c r="G3025" s="113">
        <v>450</v>
      </c>
      <c r="H3025" s="165">
        <f t="shared" si="273"/>
        <v>5400</v>
      </c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  <c r="U3025" s="8"/>
      <c r="V3025" s="56"/>
    </row>
    <row r="3026" spans="1:22" x14ac:dyDescent="0.25">
      <c r="A3026" s="25">
        <v>3015</v>
      </c>
      <c r="B3026" s="23"/>
      <c r="C3026" s="111" t="s">
        <v>1250</v>
      </c>
      <c r="D3026" s="23"/>
      <c r="E3026" s="112">
        <v>12</v>
      </c>
      <c r="F3026" s="8" t="s">
        <v>152</v>
      </c>
      <c r="G3026" s="113">
        <v>1800</v>
      </c>
      <c r="H3026" s="165">
        <f t="shared" si="273"/>
        <v>21600</v>
      </c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56"/>
    </row>
    <row r="3027" spans="1:22" x14ac:dyDescent="0.25">
      <c r="A3027" s="25">
        <v>3016</v>
      </c>
      <c r="B3027" s="23"/>
      <c r="C3027" s="111" t="s">
        <v>1246</v>
      </c>
      <c r="D3027" s="23"/>
      <c r="E3027" s="112">
        <v>8</v>
      </c>
      <c r="F3027" s="23" t="s">
        <v>567</v>
      </c>
      <c r="G3027" s="113">
        <v>1125</v>
      </c>
      <c r="H3027" s="165">
        <f t="shared" si="273"/>
        <v>9000</v>
      </c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56"/>
    </row>
    <row r="3028" spans="1:22" x14ac:dyDescent="0.25">
      <c r="A3028" s="25">
        <v>3017</v>
      </c>
      <c r="B3028" s="23"/>
      <c r="C3028" s="111"/>
      <c r="D3028" s="23"/>
      <c r="E3028" s="84"/>
      <c r="F3028" s="23"/>
      <c r="G3028" s="165"/>
      <c r="H3028" s="165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  <c r="U3028" s="8"/>
      <c r="V3028" s="56"/>
    </row>
    <row r="3029" spans="1:22" ht="30" x14ac:dyDescent="0.25">
      <c r="A3029" s="25">
        <v>3018</v>
      </c>
      <c r="B3029" s="89" t="s">
        <v>222</v>
      </c>
      <c r="C3029" s="90" t="s">
        <v>1411</v>
      </c>
      <c r="D3029" s="89" t="s">
        <v>27</v>
      </c>
      <c r="E3029" s="89"/>
      <c r="F3029" s="89"/>
      <c r="G3029" s="163"/>
      <c r="H3029" s="167">
        <v>648800</v>
      </c>
      <c r="I3029" s="89" t="s">
        <v>52</v>
      </c>
      <c r="J3029" s="60"/>
      <c r="K3029" s="60"/>
      <c r="L3029" s="60"/>
      <c r="M3029" s="60">
        <v>1</v>
      </c>
      <c r="N3029" s="60"/>
      <c r="O3029" s="60"/>
      <c r="P3029" s="60">
        <v>3</v>
      </c>
      <c r="Q3029" s="60"/>
      <c r="R3029" s="60"/>
      <c r="S3029" s="60"/>
      <c r="T3029" s="60"/>
      <c r="U3029" s="60"/>
      <c r="V3029" s="56"/>
    </row>
    <row r="3030" spans="1:22" x14ac:dyDescent="0.25">
      <c r="A3030" s="25">
        <v>3019</v>
      </c>
      <c r="B3030" s="23"/>
      <c r="C3030" s="14" t="s">
        <v>54</v>
      </c>
      <c r="D3030" s="23"/>
      <c r="E3030" s="84"/>
      <c r="F3030" s="23"/>
      <c r="G3030" s="165"/>
      <c r="H3030" s="165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56"/>
    </row>
    <row r="3031" spans="1:22" x14ac:dyDescent="0.25">
      <c r="A3031" s="25">
        <v>3020</v>
      </c>
      <c r="B3031" s="23"/>
      <c r="C3031" s="6" t="s">
        <v>1289</v>
      </c>
      <c r="D3031" s="23"/>
      <c r="E3031" s="7">
        <f>257*6</f>
        <v>1542</v>
      </c>
      <c r="F3031" s="138" t="s">
        <v>37</v>
      </c>
      <c r="G3031" s="45">
        <v>120</v>
      </c>
      <c r="H3031" s="165">
        <f>G3031*E3031</f>
        <v>185040</v>
      </c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56"/>
    </row>
    <row r="3032" spans="1:22" x14ac:dyDescent="0.25">
      <c r="A3032" s="25">
        <v>3021</v>
      </c>
      <c r="B3032" s="23"/>
      <c r="C3032" s="6" t="s">
        <v>1290</v>
      </c>
      <c r="D3032" s="23"/>
      <c r="E3032" s="7">
        <f t="shared" ref="E3032:E3033" si="274">257*6</f>
        <v>1542</v>
      </c>
      <c r="F3032" s="138" t="s">
        <v>37</v>
      </c>
      <c r="G3032" s="45">
        <v>180</v>
      </c>
      <c r="H3032" s="165">
        <f t="shared" ref="H3032:H3033" si="275">G3032*E3032</f>
        <v>277560</v>
      </c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  <c r="U3032" s="8"/>
      <c r="V3032" s="56"/>
    </row>
    <row r="3033" spans="1:22" x14ac:dyDescent="0.25">
      <c r="A3033" s="25">
        <v>3022</v>
      </c>
      <c r="B3033" s="23"/>
      <c r="C3033" s="6" t="s">
        <v>1291</v>
      </c>
      <c r="D3033" s="23"/>
      <c r="E3033" s="7">
        <f t="shared" si="274"/>
        <v>1542</v>
      </c>
      <c r="F3033" s="138" t="s">
        <v>37</v>
      </c>
      <c r="G3033" s="45">
        <v>120</v>
      </c>
      <c r="H3033" s="165">
        <f t="shared" si="275"/>
        <v>185040</v>
      </c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  <c r="U3033" s="8"/>
      <c r="V3033" s="56"/>
    </row>
    <row r="3034" spans="1:22" x14ac:dyDescent="0.25">
      <c r="A3034" s="25">
        <v>3023</v>
      </c>
      <c r="B3034" s="23"/>
      <c r="C3034" s="6" t="s">
        <v>1036</v>
      </c>
      <c r="D3034" s="23"/>
      <c r="E3034" s="7">
        <v>29</v>
      </c>
      <c r="F3034" s="138" t="s">
        <v>37</v>
      </c>
      <c r="G3034" s="13">
        <v>40</v>
      </c>
      <c r="H3034" s="165">
        <f>G3034*E3034</f>
        <v>1160</v>
      </c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56"/>
    </row>
    <row r="3035" spans="1:22" x14ac:dyDescent="0.25">
      <c r="A3035" s="25">
        <v>3024</v>
      </c>
      <c r="B3035" s="23"/>
      <c r="C3035" s="14"/>
      <c r="D3035" s="23"/>
      <c r="E3035" s="84"/>
      <c r="F3035" s="23"/>
      <c r="G3035" s="165"/>
      <c r="H3035" s="165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  <c r="U3035" s="8"/>
      <c r="V3035" s="56"/>
    </row>
    <row r="3036" spans="1:22" ht="30" x14ac:dyDescent="0.25">
      <c r="A3036" s="25">
        <v>3025</v>
      </c>
      <c r="B3036" s="89" t="s">
        <v>222</v>
      </c>
      <c r="C3036" s="90" t="s">
        <v>236</v>
      </c>
      <c r="D3036" s="89" t="s">
        <v>27</v>
      </c>
      <c r="E3036" s="89"/>
      <c r="F3036" s="89"/>
      <c r="G3036" s="163"/>
      <c r="H3036" s="167">
        <v>150000</v>
      </c>
      <c r="I3036" s="89" t="s">
        <v>52</v>
      </c>
      <c r="J3036" s="60"/>
      <c r="K3036" s="60"/>
      <c r="L3036" s="60"/>
      <c r="M3036" s="60">
        <v>1</v>
      </c>
      <c r="N3036" s="60"/>
      <c r="O3036" s="60"/>
      <c r="P3036" s="60"/>
      <c r="Q3036" s="60"/>
      <c r="R3036" s="60"/>
      <c r="S3036" s="60"/>
      <c r="T3036" s="60"/>
      <c r="U3036" s="60"/>
      <c r="V3036" s="56"/>
    </row>
    <row r="3037" spans="1:22" x14ac:dyDescent="0.25">
      <c r="A3037" s="25">
        <v>3026</v>
      </c>
      <c r="B3037" s="23"/>
      <c r="C3037" s="14" t="s">
        <v>54</v>
      </c>
      <c r="D3037" s="23"/>
      <c r="E3037" s="84"/>
      <c r="F3037" s="23"/>
      <c r="G3037" s="165"/>
      <c r="H3037" s="165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56"/>
    </row>
    <row r="3038" spans="1:22" x14ac:dyDescent="0.25">
      <c r="A3038" s="25">
        <v>3027</v>
      </c>
      <c r="B3038" s="23"/>
      <c r="C3038" s="63" t="s">
        <v>1292</v>
      </c>
      <c r="D3038" s="23"/>
      <c r="E3038" s="64">
        <f>50*5</f>
        <v>250</v>
      </c>
      <c r="F3038" s="64" t="s">
        <v>37</v>
      </c>
      <c r="G3038" s="168">
        <v>120</v>
      </c>
      <c r="H3038" s="165">
        <f>G3038*E3038</f>
        <v>30000</v>
      </c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  <c r="U3038" s="8"/>
      <c r="V3038" s="56"/>
    </row>
    <row r="3039" spans="1:22" x14ac:dyDescent="0.25">
      <c r="A3039" s="25">
        <v>3028</v>
      </c>
      <c r="B3039" s="23"/>
      <c r="C3039" s="63" t="s">
        <v>1293</v>
      </c>
      <c r="D3039" s="23"/>
      <c r="E3039" s="64">
        <f t="shared" ref="E3039:E3041" si="276">50*5</f>
        <v>250</v>
      </c>
      <c r="F3039" s="64" t="s">
        <v>37</v>
      </c>
      <c r="G3039" s="168">
        <v>180</v>
      </c>
      <c r="H3039" s="165">
        <f t="shared" ref="H3039:H3041" si="277">G3039*E3039</f>
        <v>45000</v>
      </c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  <c r="U3039" s="8"/>
      <c r="V3039" s="56"/>
    </row>
    <row r="3040" spans="1:22" x14ac:dyDescent="0.25">
      <c r="A3040" s="25">
        <v>3029</v>
      </c>
      <c r="B3040" s="23"/>
      <c r="C3040" s="63" t="s">
        <v>1294</v>
      </c>
      <c r="D3040" s="23"/>
      <c r="E3040" s="64">
        <f t="shared" si="276"/>
        <v>250</v>
      </c>
      <c r="F3040" s="64" t="s">
        <v>37</v>
      </c>
      <c r="G3040" s="168">
        <v>120</v>
      </c>
      <c r="H3040" s="165">
        <f t="shared" si="277"/>
        <v>30000</v>
      </c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  <c r="U3040" s="8"/>
      <c r="V3040" s="56"/>
    </row>
    <row r="3041" spans="1:22" x14ac:dyDescent="0.25">
      <c r="A3041" s="25">
        <v>3030</v>
      </c>
      <c r="B3041" s="23"/>
      <c r="C3041" s="63" t="s">
        <v>1295</v>
      </c>
      <c r="D3041" s="23"/>
      <c r="E3041" s="64">
        <f t="shared" si="276"/>
        <v>250</v>
      </c>
      <c r="F3041" s="64" t="s">
        <v>37</v>
      </c>
      <c r="G3041" s="168">
        <v>180</v>
      </c>
      <c r="H3041" s="165">
        <f t="shared" si="277"/>
        <v>45000</v>
      </c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56"/>
    </row>
    <row r="3042" spans="1:22" x14ac:dyDescent="0.25">
      <c r="A3042" s="25">
        <v>3031</v>
      </c>
      <c r="B3042" s="23"/>
      <c r="C3042" s="14"/>
      <c r="D3042" s="23"/>
      <c r="E3042" s="84"/>
      <c r="F3042" s="23"/>
      <c r="G3042" s="165"/>
      <c r="H3042" s="165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  <c r="U3042" s="8"/>
      <c r="V3042" s="56"/>
    </row>
    <row r="3043" spans="1:22" ht="30" x14ac:dyDescent="0.25">
      <c r="A3043" s="25">
        <v>3032</v>
      </c>
      <c r="B3043" s="86" t="s">
        <v>241</v>
      </c>
      <c r="C3043" s="87" t="s">
        <v>1439</v>
      </c>
      <c r="D3043" s="86" t="s">
        <v>26</v>
      </c>
      <c r="E3043" s="86"/>
      <c r="F3043" s="86"/>
      <c r="G3043" s="161"/>
      <c r="H3043" s="162">
        <v>240000</v>
      </c>
      <c r="I3043" s="86" t="s">
        <v>52</v>
      </c>
      <c r="J3043" s="88">
        <v>1</v>
      </c>
      <c r="K3043" s="86"/>
      <c r="L3043" s="86"/>
      <c r="M3043" s="88">
        <v>1</v>
      </c>
      <c r="N3043" s="86"/>
      <c r="O3043" s="86"/>
      <c r="P3043" s="86"/>
      <c r="Q3043" s="86"/>
      <c r="R3043" s="86"/>
      <c r="S3043" s="88">
        <v>1</v>
      </c>
      <c r="T3043" s="86"/>
      <c r="U3043" s="86"/>
      <c r="V3043" s="56"/>
    </row>
    <row r="3044" spans="1:22" ht="30" x14ac:dyDescent="0.25">
      <c r="A3044" s="25">
        <v>3033</v>
      </c>
      <c r="B3044" s="89" t="s">
        <v>241</v>
      </c>
      <c r="C3044" s="90" t="s">
        <v>33</v>
      </c>
      <c r="D3044" s="89" t="s">
        <v>27</v>
      </c>
      <c r="E3044" s="89"/>
      <c r="F3044" s="89"/>
      <c r="G3044" s="163"/>
      <c r="H3044" s="167">
        <v>240000</v>
      </c>
      <c r="I3044" s="89" t="s">
        <v>52</v>
      </c>
      <c r="J3044" s="60">
        <v>1</v>
      </c>
      <c r="K3044" s="60"/>
      <c r="L3044" s="60"/>
      <c r="M3044" s="60">
        <v>1</v>
      </c>
      <c r="N3044" s="60"/>
      <c r="O3044" s="60"/>
      <c r="P3044" s="60"/>
      <c r="Q3044" s="60"/>
      <c r="R3044" s="60"/>
      <c r="S3044" s="60">
        <v>1</v>
      </c>
      <c r="T3044" s="60"/>
      <c r="U3044" s="60"/>
      <c r="V3044" s="56"/>
    </row>
    <row r="3045" spans="1:22" x14ac:dyDescent="0.25">
      <c r="A3045" s="25">
        <v>3034</v>
      </c>
      <c r="B3045" s="23"/>
      <c r="C3045" s="14" t="s">
        <v>1296</v>
      </c>
      <c r="D3045" s="23"/>
      <c r="E3045" s="84">
        <f>16*3</f>
        <v>48</v>
      </c>
      <c r="F3045" s="23" t="s">
        <v>612</v>
      </c>
      <c r="G3045" s="165">
        <v>5000</v>
      </c>
      <c r="H3045" s="165">
        <f>E3045*G3045</f>
        <v>240000</v>
      </c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56"/>
    </row>
    <row r="3046" spans="1:22" x14ac:dyDescent="0.25">
      <c r="A3046" s="25">
        <v>3035</v>
      </c>
      <c r="B3046" s="23"/>
      <c r="C3046" s="14"/>
      <c r="D3046" s="23"/>
      <c r="E3046" s="84"/>
      <c r="F3046" s="23"/>
      <c r="G3046" s="165"/>
      <c r="H3046" s="165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  <c r="U3046" s="8"/>
      <c r="V3046" s="56"/>
    </row>
    <row r="3047" spans="1:22" ht="30" x14ac:dyDescent="0.25">
      <c r="A3047" s="25">
        <v>3036</v>
      </c>
      <c r="B3047" s="86" t="s">
        <v>242</v>
      </c>
      <c r="C3047" s="87" t="s">
        <v>80</v>
      </c>
      <c r="D3047" s="86" t="s">
        <v>26</v>
      </c>
      <c r="E3047" s="86"/>
      <c r="F3047" s="86"/>
      <c r="G3047" s="161"/>
      <c r="H3047" s="162">
        <v>10383</v>
      </c>
      <c r="I3047" s="86" t="s">
        <v>52</v>
      </c>
      <c r="J3047" s="88">
        <v>1</v>
      </c>
      <c r="K3047" s="86"/>
      <c r="L3047" s="86"/>
      <c r="M3047" s="88"/>
      <c r="N3047" s="86"/>
      <c r="O3047" s="86"/>
      <c r="P3047" s="88">
        <v>1</v>
      </c>
      <c r="Q3047" s="86"/>
      <c r="R3047" s="86"/>
      <c r="S3047" s="86"/>
      <c r="T3047" s="86"/>
      <c r="U3047" s="86"/>
      <c r="V3047" s="56"/>
    </row>
    <row r="3048" spans="1:22" ht="30" x14ac:dyDescent="0.25">
      <c r="A3048" s="25">
        <v>3037</v>
      </c>
      <c r="B3048" s="89" t="s">
        <v>242</v>
      </c>
      <c r="C3048" s="90" t="s">
        <v>43</v>
      </c>
      <c r="D3048" s="89" t="s">
        <v>27</v>
      </c>
      <c r="E3048" s="89"/>
      <c r="F3048" s="89"/>
      <c r="G3048" s="163"/>
      <c r="H3048" s="167">
        <v>10383</v>
      </c>
      <c r="I3048" s="89" t="s">
        <v>52</v>
      </c>
      <c r="J3048" s="60">
        <v>1</v>
      </c>
      <c r="K3048" s="60"/>
      <c r="L3048" s="60"/>
      <c r="M3048" s="60"/>
      <c r="N3048" s="60"/>
      <c r="O3048" s="60"/>
      <c r="P3048" s="60">
        <v>1</v>
      </c>
      <c r="Q3048" s="60"/>
      <c r="R3048" s="60"/>
      <c r="S3048" s="60"/>
      <c r="T3048" s="60"/>
      <c r="U3048" s="60"/>
      <c r="V3048" s="56"/>
    </row>
    <row r="3049" spans="1:22" x14ac:dyDescent="0.25">
      <c r="A3049" s="25">
        <v>3038</v>
      </c>
      <c r="B3049" s="23"/>
      <c r="C3049" s="14" t="s">
        <v>1297</v>
      </c>
      <c r="D3049" s="23"/>
      <c r="E3049" s="2">
        <v>3</v>
      </c>
      <c r="F3049" s="2" t="s">
        <v>152</v>
      </c>
      <c r="G3049" s="13">
        <v>3461</v>
      </c>
      <c r="H3049" s="165">
        <f>G3049*E3049</f>
        <v>10383</v>
      </c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  <c r="U3049" s="8"/>
      <c r="V3049" s="56"/>
    </row>
    <row r="3050" spans="1:22" x14ac:dyDescent="0.25">
      <c r="A3050" s="25">
        <v>3039</v>
      </c>
      <c r="B3050" s="23"/>
      <c r="C3050" s="14"/>
      <c r="D3050" s="23"/>
      <c r="E3050" s="2"/>
      <c r="F3050" s="2"/>
      <c r="G3050" s="13"/>
      <c r="H3050" s="165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56"/>
    </row>
    <row r="3051" spans="1:22" s="81" customFormat="1" ht="15" x14ac:dyDescent="0.25">
      <c r="A3051" s="215"/>
      <c r="B3051" s="80"/>
      <c r="C3051" s="155" t="s">
        <v>243</v>
      </c>
      <c r="D3051" s="80"/>
      <c r="E3051" s="80"/>
      <c r="F3051" s="80"/>
      <c r="G3051" s="199"/>
      <c r="H3051" s="200">
        <f>H14+H181+H871+H1022+H1563+H1605+H1609+H1881+H1920+H1944+H2360+H2385+H2389+H2401+H2410+H2417+H2421+H2429+H2436+H2459+H2470+H3043+H3047</f>
        <v>310492370.81999999</v>
      </c>
      <c r="I3051" s="80"/>
      <c r="J3051" s="157">
        <f t="shared" ref="J3051:U3051" si="278">J14+J181+J871+J1022+J1563+J1605+J1609+J1881+J1920+J1944+J2360+J2385+J2389+J2401+J2410+J2417+J2421+J2429+J2436+J2459+J2470+J3043+J3047</f>
        <v>139</v>
      </c>
      <c r="K3051" s="157">
        <f t="shared" si="278"/>
        <v>148</v>
      </c>
      <c r="L3051" s="157">
        <f t="shared" si="278"/>
        <v>6114</v>
      </c>
      <c r="M3051" s="157">
        <f t="shared" si="278"/>
        <v>298</v>
      </c>
      <c r="N3051" s="157">
        <f t="shared" si="278"/>
        <v>129</v>
      </c>
      <c r="O3051" s="157">
        <f t="shared" si="278"/>
        <v>115</v>
      </c>
      <c r="P3051" s="157">
        <f t="shared" si="278"/>
        <v>241</v>
      </c>
      <c r="Q3051" s="157">
        <f t="shared" si="278"/>
        <v>126</v>
      </c>
      <c r="R3051" s="157">
        <f t="shared" si="278"/>
        <v>106</v>
      </c>
      <c r="S3051" s="157">
        <f t="shared" si="278"/>
        <v>184</v>
      </c>
      <c r="T3051" s="157">
        <f t="shared" si="278"/>
        <v>120</v>
      </c>
      <c r="U3051" s="157">
        <f t="shared" si="278"/>
        <v>96</v>
      </c>
      <c r="V3051" s="202"/>
    </row>
    <row r="3052" spans="1:22" x14ac:dyDescent="0.25">
      <c r="A3052" s="273"/>
      <c r="B3052" s="273"/>
      <c r="C3052" s="273"/>
      <c r="D3052" s="273"/>
      <c r="E3052" s="273"/>
      <c r="F3052" s="273"/>
      <c r="G3052" s="273"/>
      <c r="H3052" s="273"/>
      <c r="I3052" s="273"/>
      <c r="J3052" s="273"/>
      <c r="K3052" s="273"/>
      <c r="L3052" s="273"/>
      <c r="M3052" s="273"/>
      <c r="N3052" s="273"/>
      <c r="O3052" s="273"/>
      <c r="P3052" s="273"/>
      <c r="Q3052" s="273"/>
      <c r="R3052" s="273"/>
      <c r="S3052" s="273"/>
      <c r="T3052" s="273"/>
      <c r="U3052" s="273"/>
    </row>
    <row r="3053" spans="1:22" x14ac:dyDescent="0.25">
      <c r="B3053" s="54"/>
      <c r="D3053" s="54"/>
      <c r="E3053" s="54"/>
      <c r="F3053" s="54"/>
      <c r="J3053" s="54"/>
      <c r="K3053" s="54"/>
      <c r="L3053" s="54"/>
      <c r="M3053" s="54"/>
      <c r="N3053" s="54"/>
      <c r="O3053" s="54"/>
      <c r="P3053" s="54"/>
      <c r="Q3053" s="54"/>
      <c r="R3053" s="54"/>
      <c r="S3053" s="54"/>
      <c r="T3053" s="54"/>
      <c r="U3053" s="54"/>
    </row>
    <row r="3054" spans="1:22" x14ac:dyDescent="0.25">
      <c r="B3054" s="54"/>
      <c r="D3054" s="54"/>
      <c r="E3054" s="54"/>
      <c r="F3054" s="54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</row>
    <row r="3055" spans="1:22" x14ac:dyDescent="0.25">
      <c r="B3055" s="54"/>
      <c r="D3055" s="54"/>
      <c r="E3055" s="54"/>
      <c r="F3055" s="54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</row>
    <row r="3056" spans="1:22" x14ac:dyDescent="0.25">
      <c r="B3056" s="54"/>
      <c r="D3056" s="54"/>
      <c r="E3056" s="54"/>
      <c r="F3056" s="54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</row>
    <row r="3057" spans="2:21" x14ac:dyDescent="0.25">
      <c r="B3057" s="54"/>
      <c r="D3057" s="54"/>
      <c r="E3057" s="54"/>
      <c r="F3057" s="54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</row>
    <row r="3058" spans="2:21" x14ac:dyDescent="0.25">
      <c r="B3058" s="54"/>
      <c r="D3058" s="54"/>
      <c r="E3058" s="54"/>
      <c r="F3058" s="54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</row>
    <row r="3059" spans="2:21" ht="14.25" customHeight="1" x14ac:dyDescent="0.25">
      <c r="B3059" s="54"/>
      <c r="C3059" s="156" t="s">
        <v>244</v>
      </c>
      <c r="D3059" s="54"/>
      <c r="E3059" s="54"/>
      <c r="F3059" s="54"/>
      <c r="J3059" s="258" t="s">
        <v>245</v>
      </c>
      <c r="K3059" s="274"/>
      <c r="L3059" s="274"/>
      <c r="M3059" s="274"/>
      <c r="N3059" s="274"/>
      <c r="O3059" s="274"/>
      <c r="P3059" s="274"/>
      <c r="Q3059" s="274"/>
      <c r="R3059" s="274"/>
      <c r="S3059" s="274"/>
      <c r="T3059" s="54"/>
      <c r="U3059" s="54"/>
    </row>
    <row r="3060" spans="2:21" ht="14.25" customHeight="1" x14ac:dyDescent="0.25">
      <c r="B3060" s="54"/>
      <c r="C3060" s="156"/>
      <c r="D3060" s="54"/>
      <c r="E3060" s="54"/>
      <c r="F3060" s="54"/>
      <c r="J3060" s="216"/>
      <c r="K3060" s="217"/>
      <c r="L3060" s="217"/>
      <c r="M3060" s="217"/>
      <c r="N3060" s="217"/>
      <c r="O3060" s="217"/>
      <c r="P3060" s="217"/>
      <c r="Q3060" s="217"/>
      <c r="R3060" s="217"/>
      <c r="S3060" s="217"/>
      <c r="T3060" s="54"/>
      <c r="U3060" s="54"/>
    </row>
    <row r="3061" spans="2:21" x14ac:dyDescent="0.25"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</row>
    <row r="3064" spans="2:21" ht="15" x14ac:dyDescent="0.25">
      <c r="C3064" s="201" t="s">
        <v>1412</v>
      </c>
      <c r="D3064" s="201"/>
      <c r="E3064" s="201"/>
      <c r="F3064" s="201"/>
      <c r="G3064" s="201"/>
      <c r="H3064" s="201"/>
      <c r="I3064" s="201"/>
      <c r="J3064" s="201" t="s">
        <v>1413</v>
      </c>
      <c r="K3064" s="201"/>
      <c r="M3064" s="201"/>
    </row>
    <row r="3065" spans="2:21" x14ac:dyDescent="0.2">
      <c r="C3065" s="10" t="s">
        <v>1414</v>
      </c>
      <c r="D3065" s="10"/>
      <c r="E3065" s="10"/>
      <c r="F3065" s="10"/>
      <c r="G3065" s="10"/>
      <c r="H3065" s="10"/>
      <c r="I3065" s="10"/>
      <c r="J3065" s="10" t="s">
        <v>1415</v>
      </c>
      <c r="K3065" s="10"/>
      <c r="M3065" s="10"/>
    </row>
    <row r="3066" spans="2:21" x14ac:dyDescent="0.2">
      <c r="C3066" s="10" t="s">
        <v>1416</v>
      </c>
      <c r="D3066" s="10"/>
      <c r="E3066" s="10"/>
      <c r="F3066" s="10"/>
      <c r="G3066" s="10"/>
      <c r="H3066" s="10"/>
      <c r="I3066" s="10"/>
      <c r="J3066" s="10" t="s">
        <v>1417</v>
      </c>
      <c r="K3066" s="10"/>
      <c r="M3066" s="10"/>
    </row>
    <row r="3080" spans="7:7" ht="15" x14ac:dyDescent="0.25">
      <c r="G3080" s="205"/>
    </row>
    <row r="3081" spans="7:7" ht="15" x14ac:dyDescent="0.25">
      <c r="G3081" s="205"/>
    </row>
    <row r="3082" spans="7:7" ht="15" x14ac:dyDescent="0.25">
      <c r="G3082"/>
    </row>
    <row r="3083" spans="7:7" ht="15" x14ac:dyDescent="0.25">
      <c r="G3083" s="205"/>
    </row>
    <row r="3084" spans="7:7" ht="15.75" x14ac:dyDescent="0.25">
      <c r="G3084" s="206"/>
    </row>
    <row r="3085" spans="7:7" x14ac:dyDescent="0.25">
      <c r="G3085" s="207"/>
    </row>
    <row r="3086" spans="7:7" x14ac:dyDescent="0.25">
      <c r="G3086" s="207"/>
    </row>
    <row r="3087" spans="7:7" ht="15" x14ac:dyDescent="0.25">
      <c r="G3087" s="205"/>
    </row>
    <row r="3088" spans="7:7" ht="15" x14ac:dyDescent="0.25">
      <c r="G3088" s="205"/>
    </row>
  </sheetData>
  <autoFilter ref="F1:F3088" xr:uid="{FD7A5089-DD65-4744-AEB9-6C94E4243567}"/>
  <mergeCells count="12">
    <mergeCell ref="E11:G11"/>
    <mergeCell ref="J11:U11"/>
    <mergeCell ref="E12:G12"/>
    <mergeCell ref="A3052:U3052"/>
    <mergeCell ref="J3059:S3059"/>
    <mergeCell ref="A1:U1"/>
    <mergeCell ref="A2:U2"/>
    <mergeCell ref="A8:U8"/>
    <mergeCell ref="A10:J10"/>
    <mergeCell ref="K10:U10"/>
    <mergeCell ref="A3:U3"/>
    <mergeCell ref="A4:U4"/>
  </mergeCells>
  <phoneticPr fontId="13" type="noConversion"/>
  <pageMargins left="0.19685039370078741" right="0" top="0.23622047244094491" bottom="0.23622047244094491" header="0.31496062992125984" footer="0.31496062992125984"/>
  <pageSetup paperSize="5" scale="75" orientation="landscape" horizontalDpi="0" verticalDpi="0" r:id="rId1"/>
  <rowBreaks count="38" manualBreakCount="38">
    <brk id="244" max="21" man="1"/>
    <brk id="296" max="21" man="1"/>
    <brk id="351" max="21" man="1"/>
    <brk id="547" max="16383" man="1"/>
    <brk id="643" max="16383" man="1"/>
    <brk id="896" max="16383" man="1"/>
    <brk id="936" max="16383" man="1"/>
    <brk id="1132" max="21" man="1"/>
    <brk id="1183" max="16383" man="1"/>
    <brk id="1341" max="21" man="1"/>
    <brk id="1447" max="21" man="1"/>
    <brk id="1596" max="16383" man="1"/>
    <brk id="1692" max="16383" man="1"/>
    <brk id="1796" max="21" man="1"/>
    <brk id="1899" max="16383" man="1"/>
    <brk id="1943" max="62" man="1"/>
    <brk id="1984" max="16383" man="1"/>
    <brk id="2028" max="16383" man="1"/>
    <brk id="2078" max="16383" man="1"/>
    <brk id="2127" max="16383" man="1"/>
    <brk id="2164" max="16383" man="1"/>
    <brk id="2304" max="16383" man="1"/>
    <brk id="2355" max="16383" man="1"/>
    <brk id="2392" max="16383" man="1"/>
    <brk id="2432" max="62" man="1"/>
    <brk id="2469" max="16383" man="1"/>
    <brk id="2558" max="16383" man="1"/>
    <brk id="2606" max="16383" man="1"/>
    <brk id="2646" max="16383" man="1"/>
    <brk id="2687" max="16383" man="1"/>
    <brk id="2720" max="16383" man="1"/>
    <brk id="2765" max="62" man="1"/>
    <brk id="2858" max="16383" man="1"/>
    <brk id="2900" max="62" man="1"/>
    <brk id="2944" max="62" man="1"/>
    <brk id="2981" max="16383" man="1"/>
    <brk id="3028" max="62" man="1"/>
    <brk id="30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E7F9-511A-41AD-B957-78F2C789E0AA}">
  <dimension ref="A1:R38"/>
  <sheetViews>
    <sheetView tabSelected="1" topLeftCell="A12" workbookViewId="0">
      <selection activeCell="J44" sqref="J44"/>
    </sheetView>
  </sheetViews>
  <sheetFormatPr defaultRowHeight="14.25" x14ac:dyDescent="0.2"/>
  <cols>
    <col min="1" max="1" width="14.5703125" style="10" customWidth="1"/>
    <col min="2" max="2" width="13.42578125" style="10" customWidth="1"/>
    <col min="3" max="3" width="13.140625" style="10" customWidth="1"/>
    <col min="4" max="4" width="13.7109375" style="10" customWidth="1"/>
    <col min="5" max="5" width="14.42578125" style="10" customWidth="1"/>
    <col min="6" max="6" width="13.28515625" style="10" customWidth="1"/>
    <col min="7" max="7" width="13.140625" style="10" customWidth="1"/>
    <col min="8" max="8" width="12.42578125" style="10" customWidth="1"/>
    <col min="9" max="9" width="14.28515625" style="10" customWidth="1"/>
    <col min="10" max="10" width="13.28515625" style="10" customWidth="1"/>
    <col min="11" max="12" width="12.28515625" style="10" customWidth="1"/>
    <col min="13" max="14" width="13.5703125" style="10" customWidth="1"/>
    <col min="15" max="15" width="12.42578125" style="10" customWidth="1"/>
    <col min="16" max="16" width="12.28515625" style="10" customWidth="1"/>
    <col min="17" max="17" width="13.42578125" style="10" customWidth="1"/>
    <col min="18" max="18" width="14.42578125" style="10" customWidth="1"/>
    <col min="19" max="16384" width="9.140625" style="10"/>
  </cols>
  <sheetData>
    <row r="1" spans="1:18" x14ac:dyDescent="0.2">
      <c r="A1" s="259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x14ac:dyDescent="0.2">
      <c r="A2" s="259" t="s">
        <v>1408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x14ac:dyDescent="0.2">
      <c r="A3" s="259" t="s">
        <v>27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x14ac:dyDescent="0.2">
      <c r="A4" s="259" t="s">
        <v>1439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18" x14ac:dyDescent="0.2">
      <c r="A5" s="259" t="s">
        <v>1439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</row>
    <row r="6" spans="1:18" x14ac:dyDescent="0.2">
      <c r="A6" s="259" t="s">
        <v>1538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1:18" x14ac:dyDescent="0.2">
      <c r="A7" s="259" t="s">
        <v>1439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</row>
    <row r="8" spans="1:18" x14ac:dyDescent="0.2">
      <c r="A8" s="257"/>
      <c r="B8" s="257"/>
      <c r="C8" s="257"/>
      <c r="D8" s="257"/>
      <c r="E8" s="257"/>
      <c r="F8" s="257"/>
      <c r="G8" s="257"/>
      <c r="H8" s="257"/>
      <c r="I8" s="257"/>
      <c r="J8" s="276" t="s">
        <v>1539</v>
      </c>
      <c r="K8" s="276"/>
      <c r="L8" s="276"/>
      <c r="M8" s="276"/>
      <c r="N8" s="276"/>
      <c r="O8" s="276"/>
      <c r="P8" s="276"/>
      <c r="Q8" s="276"/>
      <c r="R8" s="276"/>
    </row>
    <row r="9" spans="1:18" x14ac:dyDescent="0.2">
      <c r="A9" s="277" t="s">
        <v>1540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1:18" s="237" customFormat="1" ht="12.75" x14ac:dyDescent="0.2">
      <c r="A10" s="235" t="s">
        <v>1541</v>
      </c>
      <c r="B10" s="235" t="s">
        <v>14</v>
      </c>
      <c r="C10" s="235" t="s">
        <v>15</v>
      </c>
      <c r="D10" s="235" t="s">
        <v>16</v>
      </c>
      <c r="E10" s="236" t="s">
        <v>1542</v>
      </c>
      <c r="F10" s="235" t="s">
        <v>17</v>
      </c>
      <c r="G10" s="235" t="s">
        <v>18</v>
      </c>
      <c r="H10" s="235" t="s">
        <v>19</v>
      </c>
      <c r="I10" s="236" t="s">
        <v>1543</v>
      </c>
      <c r="J10" s="235" t="s">
        <v>20</v>
      </c>
      <c r="K10" s="235" t="s">
        <v>21</v>
      </c>
      <c r="L10" s="235" t="s">
        <v>22</v>
      </c>
      <c r="M10" s="236" t="s">
        <v>1544</v>
      </c>
      <c r="N10" s="235" t="s">
        <v>23</v>
      </c>
      <c r="O10" s="235" t="s">
        <v>24</v>
      </c>
      <c r="P10" s="235" t="s">
        <v>25</v>
      </c>
      <c r="Q10" s="236" t="s">
        <v>1545</v>
      </c>
      <c r="R10" s="235" t="s">
        <v>1478</v>
      </c>
    </row>
    <row r="11" spans="1:18" s="237" customFormat="1" ht="12.75" x14ac:dyDescent="0.2">
      <c r="A11" s="278" t="s">
        <v>1546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80"/>
    </row>
    <row r="12" spans="1:18" s="237" customFormat="1" ht="38.25" x14ac:dyDescent="0.2">
      <c r="A12" s="228" t="s">
        <v>123</v>
      </c>
      <c r="B12" s="225" t="s">
        <v>1547</v>
      </c>
      <c r="C12" s="225" t="s">
        <v>1547</v>
      </c>
      <c r="D12" s="238">
        <v>6000</v>
      </c>
      <c r="E12" s="239">
        <f>SUM(D12)</f>
        <v>6000</v>
      </c>
      <c r="F12" s="227"/>
      <c r="G12" s="225" t="s">
        <v>1547</v>
      </c>
      <c r="H12" s="225" t="s">
        <v>1547</v>
      </c>
      <c r="I12" s="240">
        <f>SUM(F12:H12)</f>
        <v>0</v>
      </c>
      <c r="J12" s="227"/>
      <c r="K12" s="225" t="s">
        <v>1547</v>
      </c>
      <c r="L12" s="225" t="s">
        <v>1547</v>
      </c>
      <c r="M12" s="240">
        <f>SUM(J12:L12)</f>
        <v>0</v>
      </c>
      <c r="N12" s="227"/>
      <c r="O12" s="225" t="s">
        <v>1547</v>
      </c>
      <c r="P12" s="225" t="s">
        <v>1547</v>
      </c>
      <c r="Q12" s="240">
        <f>SUM(N12:P12)</f>
        <v>0</v>
      </c>
      <c r="R12" s="241">
        <f>E12+I12+M12+Q12</f>
        <v>6000</v>
      </c>
    </row>
    <row r="13" spans="1:18" s="237" customFormat="1" ht="25.5" x14ac:dyDescent="0.2">
      <c r="A13" s="228" t="s">
        <v>210</v>
      </c>
      <c r="B13" s="227">
        <v>2</v>
      </c>
      <c r="C13" s="227">
        <v>3</v>
      </c>
      <c r="D13" s="227">
        <v>2</v>
      </c>
      <c r="E13" s="240">
        <f>SUM(B13:D13)</f>
        <v>7</v>
      </c>
      <c r="F13" s="227">
        <v>2</v>
      </c>
      <c r="G13" s="227">
        <v>3</v>
      </c>
      <c r="H13" s="227">
        <v>2</v>
      </c>
      <c r="I13" s="240">
        <f t="shared" ref="I13:I16" si="0">SUM(F13:H13)</f>
        <v>7</v>
      </c>
      <c r="J13" s="227">
        <v>2</v>
      </c>
      <c r="K13" s="227">
        <v>3</v>
      </c>
      <c r="L13" s="227">
        <v>2</v>
      </c>
      <c r="M13" s="240">
        <f t="shared" ref="M13:M16" si="1">SUM(J13:L13)</f>
        <v>7</v>
      </c>
      <c r="N13" s="227">
        <v>2</v>
      </c>
      <c r="O13" s="227">
        <v>3</v>
      </c>
      <c r="P13" s="227">
        <v>2</v>
      </c>
      <c r="Q13" s="240">
        <f t="shared" ref="Q13:Q16" si="2">SUM(N13:P13)</f>
        <v>7</v>
      </c>
      <c r="R13" s="241">
        <f t="shared" ref="R13:R16" si="3">E13+I13+M13+Q13</f>
        <v>28</v>
      </c>
    </row>
    <row r="14" spans="1:18" s="237" customFormat="1" ht="12.75" x14ac:dyDescent="0.2">
      <c r="A14" s="228" t="s">
        <v>93</v>
      </c>
      <c r="B14" s="227">
        <v>40</v>
      </c>
      <c r="C14" s="227">
        <v>41</v>
      </c>
      <c r="D14" s="227">
        <v>33</v>
      </c>
      <c r="E14" s="240">
        <f t="shared" ref="E14:E16" si="4">SUM(B14:D14)</f>
        <v>114</v>
      </c>
      <c r="F14" s="227">
        <v>70</v>
      </c>
      <c r="G14" s="227">
        <v>33</v>
      </c>
      <c r="H14" s="227">
        <v>31</v>
      </c>
      <c r="I14" s="240">
        <f t="shared" si="0"/>
        <v>134</v>
      </c>
      <c r="J14" s="227">
        <v>67</v>
      </c>
      <c r="K14" s="227">
        <v>32</v>
      </c>
      <c r="L14" s="227">
        <v>27</v>
      </c>
      <c r="M14" s="240">
        <f t="shared" si="1"/>
        <v>126</v>
      </c>
      <c r="N14" s="227">
        <v>53</v>
      </c>
      <c r="O14" s="227">
        <v>32</v>
      </c>
      <c r="P14" s="227">
        <v>27</v>
      </c>
      <c r="Q14" s="240">
        <f t="shared" si="2"/>
        <v>112</v>
      </c>
      <c r="R14" s="241">
        <f t="shared" si="3"/>
        <v>486</v>
      </c>
    </row>
    <row r="15" spans="1:18" s="237" customFormat="1" ht="12.75" x14ac:dyDescent="0.2">
      <c r="A15" s="228" t="s">
        <v>204</v>
      </c>
      <c r="B15" s="227">
        <v>4</v>
      </c>
      <c r="C15" s="227">
        <v>4</v>
      </c>
      <c r="D15" s="227">
        <v>4</v>
      </c>
      <c r="E15" s="240">
        <f t="shared" si="4"/>
        <v>12</v>
      </c>
      <c r="F15" s="227">
        <v>5</v>
      </c>
      <c r="G15" s="227">
        <v>4</v>
      </c>
      <c r="H15" s="227">
        <v>4</v>
      </c>
      <c r="I15" s="240">
        <f t="shared" si="0"/>
        <v>13</v>
      </c>
      <c r="J15" s="227">
        <v>6</v>
      </c>
      <c r="K15" s="227">
        <v>4</v>
      </c>
      <c r="L15" s="227">
        <v>4</v>
      </c>
      <c r="M15" s="240">
        <f t="shared" si="1"/>
        <v>14</v>
      </c>
      <c r="N15" s="227">
        <v>5</v>
      </c>
      <c r="O15" s="227">
        <v>4</v>
      </c>
      <c r="P15" s="227">
        <v>4</v>
      </c>
      <c r="Q15" s="240">
        <f t="shared" si="2"/>
        <v>13</v>
      </c>
      <c r="R15" s="241">
        <f t="shared" si="3"/>
        <v>52</v>
      </c>
    </row>
    <row r="16" spans="1:18" s="237" customFormat="1" ht="12.75" x14ac:dyDescent="0.2">
      <c r="A16" s="228" t="s">
        <v>52</v>
      </c>
      <c r="B16" s="227">
        <v>93</v>
      </c>
      <c r="C16" s="227">
        <v>100</v>
      </c>
      <c r="D16" s="227">
        <v>75</v>
      </c>
      <c r="E16" s="240">
        <f t="shared" si="4"/>
        <v>268</v>
      </c>
      <c r="F16" s="227">
        <v>221</v>
      </c>
      <c r="G16" s="227">
        <v>89</v>
      </c>
      <c r="H16" s="227">
        <v>78</v>
      </c>
      <c r="I16" s="240">
        <f t="shared" si="0"/>
        <v>388</v>
      </c>
      <c r="J16" s="227">
        <v>166</v>
      </c>
      <c r="K16" s="227">
        <v>87</v>
      </c>
      <c r="L16" s="227">
        <v>73</v>
      </c>
      <c r="M16" s="240">
        <f t="shared" si="1"/>
        <v>326</v>
      </c>
      <c r="N16" s="227">
        <v>124</v>
      </c>
      <c r="O16" s="227">
        <v>81</v>
      </c>
      <c r="P16" s="227">
        <v>63</v>
      </c>
      <c r="Q16" s="240">
        <f t="shared" si="2"/>
        <v>268</v>
      </c>
      <c r="R16" s="241">
        <f t="shared" si="3"/>
        <v>1250</v>
      </c>
    </row>
    <row r="17" spans="1:18" s="237" customFormat="1" ht="12.75" x14ac:dyDescent="0.2">
      <c r="A17" s="242" t="s">
        <v>1548</v>
      </c>
      <c r="B17" s="243">
        <f>SUM(B12:B16)</f>
        <v>139</v>
      </c>
      <c r="C17" s="243">
        <f t="shared" ref="C17:D17" si="5">SUM(C12:C16)</f>
        <v>148</v>
      </c>
      <c r="D17" s="243">
        <f t="shared" si="5"/>
        <v>6114</v>
      </c>
      <c r="E17" s="244">
        <f>SUM(E12:E16)</f>
        <v>6401</v>
      </c>
      <c r="F17" s="243">
        <f>SUM(F12:F16)</f>
        <v>298</v>
      </c>
      <c r="G17" s="243">
        <f t="shared" ref="G17:H17" si="6">SUM(G12:G16)</f>
        <v>129</v>
      </c>
      <c r="H17" s="243">
        <f t="shared" si="6"/>
        <v>115</v>
      </c>
      <c r="I17" s="244">
        <f>SUM(I12:I16)</f>
        <v>542</v>
      </c>
      <c r="J17" s="243">
        <f>SUM(J12:J16)</f>
        <v>241</v>
      </c>
      <c r="K17" s="243">
        <f t="shared" ref="K17:L17" si="7">SUM(K12:K16)</f>
        <v>126</v>
      </c>
      <c r="L17" s="243">
        <f t="shared" si="7"/>
        <v>106</v>
      </c>
      <c r="M17" s="244">
        <f>SUM(M12:M16)</f>
        <v>473</v>
      </c>
      <c r="N17" s="243">
        <f>SUM(N12:N16)</f>
        <v>184</v>
      </c>
      <c r="O17" s="243">
        <f t="shared" ref="O17:P17" si="8">SUM(O12:O16)</f>
        <v>120</v>
      </c>
      <c r="P17" s="243">
        <f t="shared" si="8"/>
        <v>96</v>
      </c>
      <c r="Q17" s="244">
        <f>SUM(Q12:Q16)</f>
        <v>400</v>
      </c>
      <c r="R17" s="245">
        <f>SUM(R12:R16)</f>
        <v>7816</v>
      </c>
    </row>
    <row r="19" spans="1:18" x14ac:dyDescent="0.2">
      <c r="A19" s="277" t="s">
        <v>1549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</row>
    <row r="20" spans="1:18" s="237" customFormat="1" ht="12.75" x14ac:dyDescent="0.2">
      <c r="A20" s="235" t="s">
        <v>1541</v>
      </c>
      <c r="B20" s="235" t="s">
        <v>14</v>
      </c>
      <c r="C20" s="235" t="s">
        <v>15</v>
      </c>
      <c r="D20" s="235" t="s">
        <v>16</v>
      </c>
      <c r="E20" s="236" t="s">
        <v>1542</v>
      </c>
      <c r="F20" s="235" t="s">
        <v>17</v>
      </c>
      <c r="G20" s="235" t="s">
        <v>18</v>
      </c>
      <c r="H20" s="235" t="s">
        <v>19</v>
      </c>
      <c r="I20" s="236" t="s">
        <v>1543</v>
      </c>
      <c r="J20" s="235" t="s">
        <v>20</v>
      </c>
      <c r="K20" s="235" t="s">
        <v>21</v>
      </c>
      <c r="L20" s="235" t="s">
        <v>22</v>
      </c>
      <c r="M20" s="236" t="s">
        <v>1544</v>
      </c>
      <c r="N20" s="235" t="s">
        <v>23</v>
      </c>
      <c r="O20" s="235" t="s">
        <v>24</v>
      </c>
      <c r="P20" s="235" t="s">
        <v>25</v>
      </c>
      <c r="Q20" s="236" t="s">
        <v>1545</v>
      </c>
      <c r="R20" s="246" t="s">
        <v>1478</v>
      </c>
    </row>
    <row r="21" spans="1:18" s="237" customFormat="1" ht="38.25" x14ac:dyDescent="0.2">
      <c r="A21" s="228" t="s">
        <v>123</v>
      </c>
      <c r="B21" s="225" t="s">
        <v>1547</v>
      </c>
      <c r="C21" s="225" t="s">
        <v>1547</v>
      </c>
      <c r="D21" s="247">
        <v>72000000</v>
      </c>
      <c r="E21" s="248">
        <f>SUM(D21)</f>
        <v>72000000</v>
      </c>
      <c r="F21" s="230"/>
      <c r="G21" s="225" t="s">
        <v>1547</v>
      </c>
      <c r="H21" s="225" t="s">
        <v>1547</v>
      </c>
      <c r="I21" s="249"/>
      <c r="J21" s="230"/>
      <c r="K21" s="225" t="s">
        <v>1547</v>
      </c>
      <c r="L21" s="225" t="s">
        <v>1547</v>
      </c>
      <c r="M21" s="249"/>
      <c r="N21" s="230"/>
      <c r="O21" s="225" t="s">
        <v>1547</v>
      </c>
      <c r="P21" s="225" t="s">
        <v>1547</v>
      </c>
      <c r="Q21" s="249"/>
      <c r="R21" s="250">
        <v>72000000</v>
      </c>
    </row>
    <row r="22" spans="1:18" s="237" customFormat="1" ht="25.5" x14ac:dyDescent="0.2">
      <c r="A22" s="228" t="s">
        <v>210</v>
      </c>
      <c r="B22" s="230">
        <v>66508</v>
      </c>
      <c r="C22" s="230">
        <v>141508</v>
      </c>
      <c r="D22" s="230">
        <v>66508</v>
      </c>
      <c r="E22" s="249">
        <v>274524</v>
      </c>
      <c r="F22" s="230">
        <v>66508</v>
      </c>
      <c r="G22" s="230">
        <v>141508</v>
      </c>
      <c r="H22" s="230">
        <v>66508</v>
      </c>
      <c r="I22" s="249">
        <v>274524</v>
      </c>
      <c r="J22" s="230">
        <v>66508</v>
      </c>
      <c r="K22" s="230">
        <v>141508</v>
      </c>
      <c r="L22" s="230">
        <v>66508</v>
      </c>
      <c r="M22" s="249">
        <v>274524</v>
      </c>
      <c r="N22" s="230">
        <v>66508</v>
      </c>
      <c r="O22" s="230">
        <v>141508</v>
      </c>
      <c r="P22" s="230">
        <v>66508</v>
      </c>
      <c r="Q22" s="249">
        <v>274524</v>
      </c>
      <c r="R22" s="250">
        <v>1098096</v>
      </c>
    </row>
    <row r="23" spans="1:18" s="237" customFormat="1" ht="12.75" x14ac:dyDescent="0.2">
      <c r="A23" s="228" t="s">
        <v>93</v>
      </c>
      <c r="B23" s="230">
        <v>301504.5</v>
      </c>
      <c r="C23" s="230">
        <v>489508</v>
      </c>
      <c r="D23" s="230">
        <v>58328</v>
      </c>
      <c r="E23" s="249">
        <v>849340.5</v>
      </c>
      <c r="F23" s="230">
        <v>11695276.34</v>
      </c>
      <c r="G23" s="230">
        <v>100057</v>
      </c>
      <c r="H23" s="230">
        <v>236465</v>
      </c>
      <c r="I23" s="249">
        <v>12031798.34</v>
      </c>
      <c r="J23" s="230">
        <v>1862463.05</v>
      </c>
      <c r="K23" s="230">
        <v>38163</v>
      </c>
      <c r="L23" s="230">
        <v>26189</v>
      </c>
      <c r="M23" s="249">
        <v>1926815.05</v>
      </c>
      <c r="N23" s="230">
        <v>1552420</v>
      </c>
      <c r="O23" s="230">
        <v>38163</v>
      </c>
      <c r="P23" s="230">
        <v>26189</v>
      </c>
      <c r="Q23" s="249">
        <v>1616772</v>
      </c>
      <c r="R23" s="250">
        <v>16424725.890000001</v>
      </c>
    </row>
    <row r="24" spans="1:18" s="237" customFormat="1" ht="12.75" x14ac:dyDescent="0.2">
      <c r="A24" s="228" t="s">
        <v>204</v>
      </c>
      <c r="B24" s="230">
        <v>2460000</v>
      </c>
      <c r="C24" s="230">
        <v>2460000</v>
      </c>
      <c r="D24" s="230">
        <v>2460000</v>
      </c>
      <c r="E24" s="249">
        <v>7380000</v>
      </c>
      <c r="F24" s="230">
        <v>3460000</v>
      </c>
      <c r="G24" s="230">
        <v>2460000</v>
      </c>
      <c r="H24" s="230">
        <v>2460000</v>
      </c>
      <c r="I24" s="249">
        <v>8380000</v>
      </c>
      <c r="J24" s="230">
        <v>3525000</v>
      </c>
      <c r="K24" s="230">
        <v>2460000</v>
      </c>
      <c r="L24" s="230">
        <v>2460000</v>
      </c>
      <c r="M24" s="249">
        <v>8445000</v>
      </c>
      <c r="N24" s="230">
        <v>2525000</v>
      </c>
      <c r="O24" s="230">
        <v>2460000</v>
      </c>
      <c r="P24" s="230">
        <v>2460000</v>
      </c>
      <c r="Q24" s="249">
        <v>7445000</v>
      </c>
      <c r="R24" s="250">
        <v>31650000</v>
      </c>
    </row>
    <row r="25" spans="1:18" s="237" customFormat="1" ht="12.75" x14ac:dyDescent="0.2">
      <c r="A25" s="228" t="s">
        <v>52</v>
      </c>
      <c r="B25" s="230">
        <v>14658917.189999999</v>
      </c>
      <c r="C25" s="230">
        <v>8390638.0199999996</v>
      </c>
      <c r="D25" s="230">
        <v>5092847</v>
      </c>
      <c r="E25" s="249">
        <v>28142402.210000001</v>
      </c>
      <c r="F25" s="230">
        <v>66174457.340000004</v>
      </c>
      <c r="G25" s="230">
        <v>7991167.6800000006</v>
      </c>
      <c r="H25" s="230">
        <v>6545118.6100000003</v>
      </c>
      <c r="I25" s="249">
        <v>80710743.629999995</v>
      </c>
      <c r="J25" s="230">
        <v>37570235.320000008</v>
      </c>
      <c r="K25" s="230">
        <v>6449682.1800000006</v>
      </c>
      <c r="L25" s="230">
        <v>5113099.6100000003</v>
      </c>
      <c r="M25" s="249">
        <v>49133017.110000007</v>
      </c>
      <c r="N25" s="230">
        <v>21846037.510000002</v>
      </c>
      <c r="O25" s="230">
        <v>5384058.8600000003</v>
      </c>
      <c r="P25" s="230">
        <v>4103289.61</v>
      </c>
      <c r="Q25" s="249">
        <v>31333385.98</v>
      </c>
      <c r="R25" s="250">
        <v>189319548.93000001</v>
      </c>
    </row>
    <row r="26" spans="1:18" s="237" customFormat="1" ht="12.75" x14ac:dyDescent="0.2">
      <c r="A26" s="242" t="s">
        <v>1548</v>
      </c>
      <c r="B26" s="231">
        <f>SUM(B21:B25)</f>
        <v>17486929.689999998</v>
      </c>
      <c r="C26" s="231">
        <f>SUM(C21:C25)</f>
        <v>11481654.02</v>
      </c>
      <c r="D26" s="231">
        <f t="shared" ref="D26" si="9">SUM(D21:D25)</f>
        <v>79677683</v>
      </c>
      <c r="E26" s="251">
        <f>SUM(E21:E25)</f>
        <v>108646266.71000001</v>
      </c>
      <c r="F26" s="231">
        <f>SUM(F21:F25)</f>
        <v>81396241.680000007</v>
      </c>
      <c r="G26" s="231">
        <f t="shared" ref="G26:H26" si="10">SUM(G21:G25)</f>
        <v>10692732.68</v>
      </c>
      <c r="H26" s="231">
        <f t="shared" si="10"/>
        <v>9308091.6099999994</v>
      </c>
      <c r="I26" s="251">
        <f>SUM(I21:I25)</f>
        <v>101397065.97</v>
      </c>
      <c r="J26" s="231">
        <f>SUM(J21:J25)</f>
        <v>43024206.370000005</v>
      </c>
      <c r="K26" s="231">
        <f t="shared" ref="K26:L26" si="11">SUM(K21:K25)</f>
        <v>9089353.1799999997</v>
      </c>
      <c r="L26" s="231">
        <f t="shared" si="11"/>
        <v>7665796.6100000003</v>
      </c>
      <c r="M26" s="251">
        <f>SUM(M21:M25)</f>
        <v>59779356.160000011</v>
      </c>
      <c r="N26" s="231">
        <f>SUM(N21:N25)</f>
        <v>25989965.510000002</v>
      </c>
      <c r="O26" s="231">
        <f t="shared" ref="O26:P26" si="12">SUM(O21:O25)</f>
        <v>8023729.8600000003</v>
      </c>
      <c r="P26" s="231">
        <f t="shared" si="12"/>
        <v>6655986.6099999994</v>
      </c>
      <c r="Q26" s="251">
        <f>SUM(Q21:Q25)</f>
        <v>40669681.980000004</v>
      </c>
      <c r="R26" s="252">
        <f>SUM(R21:R25)</f>
        <v>310492370.81999999</v>
      </c>
    </row>
    <row r="30" spans="1:18" x14ac:dyDescent="0.2"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</row>
    <row r="31" spans="1:18" x14ac:dyDescent="0.2"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</row>
    <row r="34" spans="3:13" ht="25.5" customHeight="1" x14ac:dyDescent="0.2">
      <c r="C34" s="224" t="s">
        <v>244</v>
      </c>
      <c r="L34" s="275" t="s">
        <v>245</v>
      </c>
      <c r="M34" s="275"/>
    </row>
    <row r="36" spans="3:13" s="201" customFormat="1" ht="15" x14ac:dyDescent="0.25">
      <c r="C36" s="201" t="s">
        <v>1412</v>
      </c>
      <c r="L36" s="201" t="s">
        <v>1413</v>
      </c>
    </row>
    <row r="37" spans="3:13" x14ac:dyDescent="0.2">
      <c r="C37" s="10" t="s">
        <v>1414</v>
      </c>
      <c r="L37" s="10" t="s">
        <v>1415</v>
      </c>
    </row>
    <row r="38" spans="3:13" x14ac:dyDescent="0.2">
      <c r="C38" s="10" t="s">
        <v>1416</v>
      </c>
      <c r="L38" s="10" t="s">
        <v>1417</v>
      </c>
    </row>
  </sheetData>
  <mergeCells count="13">
    <mergeCell ref="A6:R6"/>
    <mergeCell ref="A1:R1"/>
    <mergeCell ref="A2:R2"/>
    <mergeCell ref="A3:R3"/>
    <mergeCell ref="A4:R4"/>
    <mergeCell ref="A5:R5"/>
    <mergeCell ref="L34:M34"/>
    <mergeCell ref="A7:R7"/>
    <mergeCell ref="A8:I8"/>
    <mergeCell ref="J8:R8"/>
    <mergeCell ref="A9:R9"/>
    <mergeCell ref="A11:R11"/>
    <mergeCell ref="A19:R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Pedro Dela cruz</cp:lastModifiedBy>
  <cp:lastPrinted>2024-01-10T13:43:44Z</cp:lastPrinted>
  <dcterms:created xsi:type="dcterms:W3CDTF">2023-11-13T16:04:34Z</dcterms:created>
  <dcterms:modified xsi:type="dcterms:W3CDTF">2024-01-25T07:40:07Z</dcterms:modified>
</cp:coreProperties>
</file>